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in_Mihail\Documents\2023\август\Объявление нов.инфраструктура\"/>
    </mc:Choice>
  </mc:AlternateContent>
  <bookViews>
    <workbookView xWindow="930" yWindow="0" windowWidth="27870" windowHeight="13020" firstSheet="1" activeTab="1"/>
  </bookViews>
  <sheets>
    <sheet name="Расчет инвестиций" sheetId="2" state="hidden" r:id="rId1"/>
    <sheet name="Расчет сс " sheetId="4" r:id="rId2"/>
    <sheet name="Лист1" sheetId="5" state="hidden" r:id="rId3"/>
    <sheet name="Лист2" sheetId="6" state="hidden" r:id="rId4"/>
    <sheet name="было" sheetId="7" state="hidden" r:id="rId5"/>
    <sheet name="Лист2 (2)" sheetId="8" state="hidden" r:id="rId6"/>
  </sheets>
  <definedNames>
    <definedName name="_xlnm._FilterDatabase" localSheetId="4" hidden="1">было!$A$9:$Q$412</definedName>
    <definedName name="_xlnm._FilterDatabase" localSheetId="2" hidden="1">Лист1!$A$17:$L$150</definedName>
    <definedName name="_xlnm._FilterDatabase" localSheetId="0" hidden="1">'Расчет инвестиций'!$A$9:$Q$965</definedName>
    <definedName name="_xlnm._FilterDatabase" localSheetId="1" hidden="1">'Расчет сс '!$A$8:$Q$15</definedName>
    <definedName name="_xlnm.Print_Titles" localSheetId="4">было!$9:$9</definedName>
    <definedName name="_xlnm.Print_Titles" localSheetId="1">'Расчет сс '!$8:$8</definedName>
    <definedName name="_xlnm.Print_Area" localSheetId="4">было!$A$1:$Q$461</definedName>
    <definedName name="_xlnm.Print_Area" localSheetId="1">'Расчет сс '!$A$1:$Q$52</definedName>
  </definedNames>
  <calcPr calcId="191029"/>
</workbook>
</file>

<file path=xl/calcChain.xml><?xml version="1.0" encoding="utf-8"?>
<calcChain xmlns="http://schemas.openxmlformats.org/spreadsheetml/2006/main">
  <c r="C28" i="8" l="1"/>
  <c r="E28" i="8" s="1"/>
  <c r="E27" i="8"/>
  <c r="E26" i="8"/>
  <c r="D26" i="8"/>
  <c r="C26" i="8"/>
  <c r="P457" i="7"/>
  <c r="N457" i="7"/>
  <c r="Q457" i="7" s="1"/>
  <c r="M456" i="7"/>
  <c r="N456" i="7" s="1"/>
  <c r="Q456" i="7" s="1"/>
  <c r="P455" i="7"/>
  <c r="Q455" i="7" s="1"/>
  <c r="N455" i="7"/>
  <c r="J455" i="7"/>
  <c r="I454" i="7"/>
  <c r="P454" i="7" s="1"/>
  <c r="I453" i="7"/>
  <c r="J453" i="7" s="1"/>
  <c r="Q453" i="7" s="1"/>
  <c r="I452" i="7"/>
  <c r="P452" i="7" s="1"/>
  <c r="J451" i="7"/>
  <c r="M450" i="7"/>
  <c r="P450" i="7" s="1"/>
  <c r="J450" i="7"/>
  <c r="Q449" i="7"/>
  <c r="N449" i="7"/>
  <c r="J449" i="7"/>
  <c r="Q448" i="7"/>
  <c r="N448" i="7"/>
  <c r="J448" i="7"/>
  <c r="I447" i="7"/>
  <c r="J447" i="7" s="1"/>
  <c r="I446" i="7"/>
  <c r="J446" i="7" s="1"/>
  <c r="I445" i="7"/>
  <c r="J445" i="7" s="1"/>
  <c r="J444" i="7"/>
  <c r="I444" i="7"/>
  <c r="I443" i="7"/>
  <c r="J443" i="7" s="1"/>
  <c r="I442" i="7"/>
  <c r="J442" i="7" s="1"/>
  <c r="I441" i="7"/>
  <c r="J441" i="7" s="1"/>
  <c r="Q440" i="7"/>
  <c r="N440" i="7"/>
  <c r="I440" i="7"/>
  <c r="J440" i="7" s="1"/>
  <c r="P439" i="7"/>
  <c r="N439" i="7"/>
  <c r="Q439" i="7" s="1"/>
  <c r="I439" i="7"/>
  <c r="J439" i="7" s="1"/>
  <c r="I438" i="7"/>
  <c r="J438" i="7" s="1"/>
  <c r="I437" i="7"/>
  <c r="J436" i="7"/>
  <c r="J435" i="7"/>
  <c r="M434" i="7"/>
  <c r="P434" i="7" s="1"/>
  <c r="J434" i="7"/>
  <c r="P433" i="7"/>
  <c r="M433" i="7"/>
  <c r="J433" i="7"/>
  <c r="N433" i="7" s="1"/>
  <c r="J432" i="7"/>
  <c r="Q431" i="7"/>
  <c r="M431" i="7"/>
  <c r="N431" i="7" s="1"/>
  <c r="J431" i="7"/>
  <c r="I429" i="7"/>
  <c r="I428" i="7"/>
  <c r="J428" i="7" s="1"/>
  <c r="I427" i="7"/>
  <c r="J427" i="7" s="1"/>
  <c r="I426" i="7"/>
  <c r="J426" i="7" s="1"/>
  <c r="I425" i="7"/>
  <c r="I424" i="7"/>
  <c r="I423" i="7"/>
  <c r="J423" i="7" s="1"/>
  <c r="M411" i="7"/>
  <c r="P411" i="7" s="1"/>
  <c r="J411" i="7"/>
  <c r="N411" i="7" s="1"/>
  <c r="Q411" i="7" s="1"/>
  <c r="I410" i="7"/>
  <c r="J410" i="7" s="1"/>
  <c r="I409" i="7"/>
  <c r="I408" i="7"/>
  <c r="J408" i="7" s="1"/>
  <c r="I407" i="7"/>
  <c r="J407" i="7" s="1"/>
  <c r="I406" i="7"/>
  <c r="J406" i="7" s="1"/>
  <c r="I405" i="7"/>
  <c r="J405" i="7" s="1"/>
  <c r="I404" i="7"/>
  <c r="J404" i="7" s="1"/>
  <c r="I403" i="7"/>
  <c r="J403" i="7" s="1"/>
  <c r="I402" i="7"/>
  <c r="J402" i="7" s="1"/>
  <c r="I401" i="7"/>
  <c r="J401" i="7" s="1"/>
  <c r="I400" i="7"/>
  <c r="J400" i="7" s="1"/>
  <c r="I399" i="7"/>
  <c r="J399" i="7" s="1"/>
  <c r="I398" i="7"/>
  <c r="J398" i="7" s="1"/>
  <c r="I397" i="7"/>
  <c r="J397" i="7" s="1"/>
  <c r="I396" i="7"/>
  <c r="J396" i="7" s="1"/>
  <c r="I395" i="7"/>
  <c r="J395" i="7" s="1"/>
  <c r="I394" i="7"/>
  <c r="J394" i="7" s="1"/>
  <c r="J393" i="7"/>
  <c r="I393" i="7"/>
  <c r="I392" i="7"/>
  <c r="J392" i="7" s="1"/>
  <c r="I391" i="7"/>
  <c r="J391" i="7" s="1"/>
  <c r="I390" i="7"/>
  <c r="J390" i="7" s="1"/>
  <c r="M389" i="7"/>
  <c r="P389" i="7" s="1"/>
  <c r="I389" i="7"/>
  <c r="J389" i="7" s="1"/>
  <c r="P388" i="7"/>
  <c r="N388" i="7"/>
  <c r="Q388" i="7" s="1"/>
  <c r="I388" i="7"/>
  <c r="J388" i="7" s="1"/>
  <c r="P387" i="7"/>
  <c r="N387" i="7"/>
  <c r="Q387" i="7" s="1"/>
  <c r="I387" i="7"/>
  <c r="J387" i="7" s="1"/>
  <c r="P386" i="7"/>
  <c r="N386" i="7"/>
  <c r="Q386" i="7" s="1"/>
  <c r="I386" i="7"/>
  <c r="J386" i="7" s="1"/>
  <c r="P385" i="7"/>
  <c r="N385" i="7"/>
  <c r="Q385" i="7" s="1"/>
  <c r="I385" i="7"/>
  <c r="J385" i="7" s="1"/>
  <c r="M384" i="7"/>
  <c r="N384" i="7" s="1"/>
  <c r="Q384" i="7" s="1"/>
  <c r="I384" i="7"/>
  <c r="J384" i="7" s="1"/>
  <c r="M383" i="7"/>
  <c r="P383" i="7" s="1"/>
  <c r="I383" i="7"/>
  <c r="J383" i="7" s="1"/>
  <c r="M382" i="7"/>
  <c r="N382" i="7" s="1"/>
  <c r="Q382" i="7" s="1"/>
  <c r="I382" i="7"/>
  <c r="J382" i="7" s="1"/>
  <c r="P381" i="7"/>
  <c r="N381" i="7"/>
  <c r="Q381" i="7" s="1"/>
  <c r="I381" i="7"/>
  <c r="J381" i="7" s="1"/>
  <c r="Q380" i="7"/>
  <c r="P380" i="7"/>
  <c r="I380" i="7"/>
  <c r="J380" i="7" s="1"/>
  <c r="Q379" i="7"/>
  <c r="P379" i="7"/>
  <c r="I379" i="7"/>
  <c r="J379" i="7" s="1"/>
  <c r="Q378" i="7"/>
  <c r="P378" i="7"/>
  <c r="I378" i="7"/>
  <c r="J378" i="7" s="1"/>
  <c r="Q377" i="7"/>
  <c r="P377" i="7"/>
  <c r="I377" i="7"/>
  <c r="J377" i="7" s="1"/>
  <c r="Q376" i="7"/>
  <c r="P376" i="7"/>
  <c r="I376" i="7"/>
  <c r="J376" i="7" s="1"/>
  <c r="Q375" i="7"/>
  <c r="P375" i="7"/>
  <c r="I375" i="7"/>
  <c r="J375" i="7" s="1"/>
  <c r="Q374" i="7"/>
  <c r="P374" i="7"/>
  <c r="I374" i="7"/>
  <c r="J374" i="7" s="1"/>
  <c r="P373" i="7"/>
  <c r="N373" i="7"/>
  <c r="Q373" i="7" s="1"/>
  <c r="I373" i="7"/>
  <c r="J373" i="7" s="1"/>
  <c r="P372" i="7"/>
  <c r="N372" i="7"/>
  <c r="Q372" i="7" s="1"/>
  <c r="I372" i="7"/>
  <c r="J372" i="7" s="1"/>
  <c r="M371" i="7"/>
  <c r="P371" i="7" s="1"/>
  <c r="I371" i="7"/>
  <c r="J371" i="7" s="1"/>
  <c r="Q370" i="7"/>
  <c r="P370" i="7"/>
  <c r="I370" i="7"/>
  <c r="J370" i="7" s="1"/>
  <c r="Q369" i="7"/>
  <c r="P369" i="7"/>
  <c r="I369" i="7"/>
  <c r="J369" i="7" s="1"/>
  <c r="Q368" i="7"/>
  <c r="P368" i="7"/>
  <c r="I368" i="7"/>
  <c r="J368" i="7" s="1"/>
  <c r="P367" i="7"/>
  <c r="N367" i="7"/>
  <c r="Q367" i="7" s="1"/>
  <c r="I367" i="7"/>
  <c r="J367" i="7" s="1"/>
  <c r="M366" i="7"/>
  <c r="P366" i="7" s="1"/>
  <c r="I366" i="7"/>
  <c r="J366" i="7" s="1"/>
  <c r="N365" i="7"/>
  <c r="Q365" i="7" s="1"/>
  <c r="M365" i="7"/>
  <c r="P365" i="7" s="1"/>
  <c r="I365" i="7"/>
  <c r="J365" i="7" s="1"/>
  <c r="M364" i="7"/>
  <c r="P364" i="7" s="1"/>
  <c r="I363" i="7"/>
  <c r="J363" i="7" s="1"/>
  <c r="M362" i="7"/>
  <c r="P362" i="7" s="1"/>
  <c r="I362" i="7"/>
  <c r="J362" i="7" s="1"/>
  <c r="N362" i="7" s="1"/>
  <c r="Q362" i="7" s="1"/>
  <c r="M361" i="7"/>
  <c r="P361" i="7" s="1"/>
  <c r="J361" i="7"/>
  <c r="N361" i="7" s="1"/>
  <c r="Q361" i="7" s="1"/>
  <c r="M360" i="7"/>
  <c r="P360" i="7" s="1"/>
  <c r="J360" i="7"/>
  <c r="N360" i="7" s="1"/>
  <c r="Q360" i="7" s="1"/>
  <c r="P359" i="7"/>
  <c r="M359" i="7"/>
  <c r="J359" i="7"/>
  <c r="N359" i="7" s="1"/>
  <c r="Q359" i="7" s="1"/>
  <c r="M358" i="7"/>
  <c r="P358" i="7" s="1"/>
  <c r="J358" i="7"/>
  <c r="N358" i="7" s="1"/>
  <c r="Q358" i="7" s="1"/>
  <c r="F358" i="7" s="1"/>
  <c r="I357" i="7"/>
  <c r="J357" i="7" s="1"/>
  <c r="I356" i="7"/>
  <c r="J356" i="7" s="1"/>
  <c r="I355" i="7"/>
  <c r="I354" i="7"/>
  <c r="J354" i="7" s="1"/>
  <c r="M353" i="7"/>
  <c r="P353" i="7" s="1"/>
  <c r="J353" i="7"/>
  <c r="N353" i="7" s="1"/>
  <c r="Q353" i="7" s="1"/>
  <c r="F353" i="7" s="1"/>
  <c r="J352" i="7"/>
  <c r="P351" i="7"/>
  <c r="M351" i="7"/>
  <c r="J351" i="7"/>
  <c r="N351" i="7" s="1"/>
  <c r="Q351" i="7" s="1"/>
  <c r="M350" i="7"/>
  <c r="P350" i="7" s="1"/>
  <c r="J350" i="7"/>
  <c r="N350" i="7" s="1"/>
  <c r="Q350" i="7" s="1"/>
  <c r="M349" i="7"/>
  <c r="P349" i="7" s="1"/>
  <c r="J349" i="7"/>
  <c r="N349" i="7" s="1"/>
  <c r="Q349" i="7" s="1"/>
  <c r="J348" i="7"/>
  <c r="M347" i="7"/>
  <c r="P347" i="7" s="1"/>
  <c r="J347" i="7"/>
  <c r="J346" i="7"/>
  <c r="M345" i="7"/>
  <c r="P345" i="7" s="1"/>
  <c r="J345" i="7"/>
  <c r="M344" i="7"/>
  <c r="J344" i="7"/>
  <c r="N344" i="7" s="1"/>
  <c r="Q344" i="7" s="1"/>
  <c r="M343" i="7"/>
  <c r="P343" i="7" s="1"/>
  <c r="J343" i="7"/>
  <c r="N343" i="7" s="1"/>
  <c r="Q343" i="7" s="1"/>
  <c r="M342" i="7"/>
  <c r="P342" i="7" s="1"/>
  <c r="J342" i="7"/>
  <c r="N342" i="7" s="1"/>
  <c r="Q342" i="7" s="1"/>
  <c r="M341" i="7"/>
  <c r="P341" i="7" s="1"/>
  <c r="J341" i="7"/>
  <c r="N341" i="7" s="1"/>
  <c r="Q341" i="7" s="1"/>
  <c r="M340" i="7"/>
  <c r="P340" i="7" s="1"/>
  <c r="J340" i="7"/>
  <c r="N340" i="7" s="1"/>
  <c r="Q340" i="7" s="1"/>
  <c r="M339" i="7"/>
  <c r="P339" i="7" s="1"/>
  <c r="J339" i="7"/>
  <c r="N339" i="7" s="1"/>
  <c r="Q339" i="7" s="1"/>
  <c r="M338" i="7"/>
  <c r="P338" i="7" s="1"/>
  <c r="J338" i="7"/>
  <c r="N338" i="7" s="1"/>
  <c r="Q338" i="7" s="1"/>
  <c r="I337" i="7"/>
  <c r="J337" i="7" s="1"/>
  <c r="I336" i="7"/>
  <c r="J336" i="7" s="1"/>
  <c r="I335" i="7"/>
  <c r="J335" i="7" s="1"/>
  <c r="N335" i="7" s="1"/>
  <c r="Q335" i="7" s="1"/>
  <c r="P334" i="7"/>
  <c r="N334" i="7"/>
  <c r="Q334" i="7" s="1"/>
  <c r="I334" i="7"/>
  <c r="J334" i="7" s="1"/>
  <c r="P333" i="7"/>
  <c r="N333" i="7"/>
  <c r="Q333" i="7" s="1"/>
  <c r="I333" i="7"/>
  <c r="J333" i="7" s="1"/>
  <c r="P332" i="7"/>
  <c r="N332" i="7"/>
  <c r="Q332" i="7" s="1"/>
  <c r="I332" i="7"/>
  <c r="J332" i="7" s="1"/>
  <c r="M331" i="7"/>
  <c r="I331" i="7"/>
  <c r="J331" i="7" s="1"/>
  <c r="M330" i="7"/>
  <c r="P330" i="7" s="1"/>
  <c r="I330" i="7"/>
  <c r="J330" i="7" s="1"/>
  <c r="M329" i="7"/>
  <c r="P329" i="7" s="1"/>
  <c r="I329" i="7"/>
  <c r="J329" i="7" s="1"/>
  <c r="M328" i="7"/>
  <c r="N328" i="7" s="1"/>
  <c r="Q328" i="7" s="1"/>
  <c r="I328" i="7"/>
  <c r="J328" i="7" s="1"/>
  <c r="M327" i="7"/>
  <c r="I327" i="7"/>
  <c r="J327" i="7" s="1"/>
  <c r="M326" i="7"/>
  <c r="I326" i="7"/>
  <c r="J326" i="7" s="1"/>
  <c r="M324" i="7"/>
  <c r="P324" i="7" s="1"/>
  <c r="J324" i="7"/>
  <c r="N324" i="7" s="1"/>
  <c r="Q324" i="7" s="1"/>
  <c r="M323" i="7"/>
  <c r="P323" i="7" s="1"/>
  <c r="J323" i="7"/>
  <c r="N323" i="7" s="1"/>
  <c r="Q323" i="7" s="1"/>
  <c r="M322" i="7"/>
  <c r="P322" i="7" s="1"/>
  <c r="J322" i="7"/>
  <c r="N322" i="7" s="1"/>
  <c r="Q322" i="7" s="1"/>
  <c r="M321" i="7"/>
  <c r="P321" i="7" s="1"/>
  <c r="J321" i="7"/>
  <c r="N321" i="7" s="1"/>
  <c r="Q321" i="7" s="1"/>
  <c r="M320" i="7"/>
  <c r="P320" i="7" s="1"/>
  <c r="J320" i="7"/>
  <c r="N320" i="7" s="1"/>
  <c r="Q320" i="7" s="1"/>
  <c r="M319" i="7"/>
  <c r="P319" i="7" s="1"/>
  <c r="J319" i="7"/>
  <c r="N319" i="7" s="1"/>
  <c r="Q319" i="7" s="1"/>
  <c r="M318" i="7"/>
  <c r="P318" i="7" s="1"/>
  <c r="J318" i="7"/>
  <c r="N318" i="7" s="1"/>
  <c r="Q318" i="7" s="1"/>
  <c r="M317" i="7"/>
  <c r="P317" i="7" s="1"/>
  <c r="J317" i="7"/>
  <c r="N317" i="7" s="1"/>
  <c r="Q317" i="7" s="1"/>
  <c r="M316" i="7"/>
  <c r="P316" i="7" s="1"/>
  <c r="J316" i="7"/>
  <c r="N316" i="7" s="1"/>
  <c r="Q316" i="7" s="1"/>
  <c r="J315" i="7"/>
  <c r="J314" i="7"/>
  <c r="J313" i="7"/>
  <c r="J312" i="7"/>
  <c r="M311" i="7"/>
  <c r="P311" i="7" s="1"/>
  <c r="J311" i="7"/>
  <c r="I310" i="7"/>
  <c r="J310" i="7" s="1"/>
  <c r="N310" i="7" s="1"/>
  <c r="Q310" i="7" s="1"/>
  <c r="I309" i="7"/>
  <c r="J309" i="7" s="1"/>
  <c r="I308" i="7"/>
  <c r="J308" i="7" s="1"/>
  <c r="M307" i="7"/>
  <c r="P307" i="7" s="1"/>
  <c r="I306" i="7"/>
  <c r="J306" i="7" s="1"/>
  <c r="I305" i="7"/>
  <c r="J305" i="7" s="1"/>
  <c r="I304" i="7"/>
  <c r="J304" i="7" s="1"/>
  <c r="J303" i="7"/>
  <c r="I303" i="7"/>
  <c r="I302" i="7"/>
  <c r="J302" i="7" s="1"/>
  <c r="I301" i="7"/>
  <c r="J301" i="7" s="1"/>
  <c r="I300" i="7"/>
  <c r="J300" i="7" s="1"/>
  <c r="I299" i="7"/>
  <c r="J299" i="7" s="1"/>
  <c r="I298" i="7"/>
  <c r="J298" i="7" s="1"/>
  <c r="I297" i="7"/>
  <c r="J297" i="7" s="1"/>
  <c r="I296" i="7"/>
  <c r="J296" i="7" s="1"/>
  <c r="M295" i="7"/>
  <c r="N295" i="7" s="1"/>
  <c r="Q295" i="7" s="1"/>
  <c r="I295" i="7"/>
  <c r="J295" i="7" s="1"/>
  <c r="M294" i="7"/>
  <c r="P294" i="7" s="1"/>
  <c r="I294" i="7"/>
  <c r="J294" i="7" s="1"/>
  <c r="P293" i="7"/>
  <c r="N293" i="7"/>
  <c r="Q293" i="7" s="1"/>
  <c r="I293" i="7"/>
  <c r="J293" i="7" s="1"/>
  <c r="P292" i="7"/>
  <c r="N292" i="7"/>
  <c r="Q292" i="7" s="1"/>
  <c r="I292" i="7"/>
  <c r="J292" i="7" s="1"/>
  <c r="P291" i="7"/>
  <c r="N291" i="7"/>
  <c r="Q291" i="7" s="1"/>
  <c r="I291" i="7"/>
  <c r="J291" i="7" s="1"/>
  <c r="P290" i="7"/>
  <c r="N290" i="7"/>
  <c r="Q290" i="7" s="1"/>
  <c r="I290" i="7"/>
  <c r="J290" i="7" s="1"/>
  <c r="M289" i="7"/>
  <c r="P289" i="7" s="1"/>
  <c r="I289" i="7"/>
  <c r="J289" i="7" s="1"/>
  <c r="P288" i="7"/>
  <c r="N288" i="7"/>
  <c r="Q288" i="7" s="1"/>
  <c r="I288" i="7"/>
  <c r="J288" i="7" s="1"/>
  <c r="M287" i="7"/>
  <c r="P287" i="7" s="1"/>
  <c r="J287" i="7"/>
  <c r="N287" i="7" s="1"/>
  <c r="Q287" i="7" s="1"/>
  <c r="M286" i="7"/>
  <c r="P286" i="7" s="1"/>
  <c r="J286" i="7"/>
  <c r="N286" i="7" s="1"/>
  <c r="Q286" i="7" s="1"/>
  <c r="I285" i="7"/>
  <c r="J285" i="7" s="1"/>
  <c r="I284" i="7"/>
  <c r="J284" i="7" s="1"/>
  <c r="M283" i="7"/>
  <c r="P283" i="7" s="1"/>
  <c r="J283" i="7"/>
  <c r="N283" i="7" s="1"/>
  <c r="Q283" i="7" s="1"/>
  <c r="M282" i="7"/>
  <c r="P282" i="7" s="1"/>
  <c r="J282" i="7"/>
  <c r="N282" i="7" s="1"/>
  <c r="Q282" i="7" s="1"/>
  <c r="M281" i="7"/>
  <c r="P281" i="7" s="1"/>
  <c r="J281" i="7"/>
  <c r="N281" i="7" s="1"/>
  <c r="Q281" i="7" s="1"/>
  <c r="I280" i="7"/>
  <c r="J280" i="7" s="1"/>
  <c r="I279" i="7"/>
  <c r="J279" i="7" s="1"/>
  <c r="J278" i="7"/>
  <c r="I278" i="7"/>
  <c r="I277" i="7"/>
  <c r="J277" i="7" s="1"/>
  <c r="I276" i="7"/>
  <c r="J276" i="7" s="1"/>
  <c r="I275" i="7"/>
  <c r="I274" i="7"/>
  <c r="J274" i="7" s="1"/>
  <c r="I273" i="7"/>
  <c r="J273" i="7" s="1"/>
  <c r="I272" i="7"/>
  <c r="J272" i="7" s="1"/>
  <c r="M271" i="7"/>
  <c r="P271" i="7" s="1"/>
  <c r="J271" i="7"/>
  <c r="N271" i="7" s="1"/>
  <c r="Q271" i="7" s="1"/>
  <c r="M270" i="7"/>
  <c r="P270" i="7" s="1"/>
  <c r="J270" i="7"/>
  <c r="N270" i="7" s="1"/>
  <c r="Q270" i="7" s="1"/>
  <c r="M269" i="7"/>
  <c r="P269" i="7" s="1"/>
  <c r="J269" i="7"/>
  <c r="N269" i="7" s="1"/>
  <c r="Q269" i="7" s="1"/>
  <c r="I268" i="7"/>
  <c r="J268" i="7" s="1"/>
  <c r="I267" i="7"/>
  <c r="J267" i="7" s="1"/>
  <c r="M266" i="7"/>
  <c r="P266" i="7" s="1"/>
  <c r="J266" i="7"/>
  <c r="N266" i="7" s="1"/>
  <c r="Q266" i="7" s="1"/>
  <c r="M265" i="7"/>
  <c r="P265" i="7" s="1"/>
  <c r="J265" i="7"/>
  <c r="N265" i="7" s="1"/>
  <c r="Q265" i="7" s="1"/>
  <c r="I264" i="7"/>
  <c r="J264" i="7" s="1"/>
  <c r="N264" i="7" s="1"/>
  <c r="M263" i="7"/>
  <c r="P263" i="7" s="1"/>
  <c r="I263" i="7"/>
  <c r="J263" i="7" s="1"/>
  <c r="N262" i="7"/>
  <c r="Q262" i="7" s="1"/>
  <c r="M262" i="7"/>
  <c r="P262" i="7" s="1"/>
  <c r="I262" i="7"/>
  <c r="J262" i="7" s="1"/>
  <c r="M261" i="7"/>
  <c r="P261" i="7" s="1"/>
  <c r="J261" i="7"/>
  <c r="N261" i="7" s="1"/>
  <c r="Q261" i="7" s="1"/>
  <c r="M260" i="7"/>
  <c r="P260" i="7" s="1"/>
  <c r="J260" i="7"/>
  <c r="N260" i="7" s="1"/>
  <c r="Q260" i="7" s="1"/>
  <c r="M259" i="7"/>
  <c r="P259" i="7" s="1"/>
  <c r="J259" i="7"/>
  <c r="N259" i="7" s="1"/>
  <c r="Q259" i="7" s="1"/>
  <c r="M258" i="7"/>
  <c r="P258" i="7" s="1"/>
  <c r="J258" i="7"/>
  <c r="N258" i="7" s="1"/>
  <c r="Q258" i="7" s="1"/>
  <c r="I257" i="7"/>
  <c r="J257" i="7" s="1"/>
  <c r="I256" i="7"/>
  <c r="M255" i="7"/>
  <c r="P255" i="7" s="1"/>
  <c r="I255" i="7"/>
  <c r="J255" i="7" s="1"/>
  <c r="I254" i="7"/>
  <c r="J254" i="7" s="1"/>
  <c r="N253" i="7"/>
  <c r="Q253" i="7" s="1"/>
  <c r="M253" i="7"/>
  <c r="P253" i="7" s="1"/>
  <c r="I253" i="7"/>
  <c r="J253" i="7" s="1"/>
  <c r="I252" i="7"/>
  <c r="J252" i="7" s="1"/>
  <c r="I251" i="7"/>
  <c r="J251" i="7" s="1"/>
  <c r="I250" i="7"/>
  <c r="J250" i="7" s="1"/>
  <c r="I249" i="7"/>
  <c r="J249" i="7" s="1"/>
  <c r="I248" i="7"/>
  <c r="J248" i="7" s="1"/>
  <c r="J247" i="7"/>
  <c r="I247" i="7"/>
  <c r="I246" i="7"/>
  <c r="J246" i="7" s="1"/>
  <c r="I245" i="7"/>
  <c r="J245" i="7" s="1"/>
  <c r="I244" i="7"/>
  <c r="I243" i="7"/>
  <c r="J243" i="7" s="1"/>
  <c r="I242" i="7"/>
  <c r="M241" i="7"/>
  <c r="P241" i="7" s="1"/>
  <c r="J241" i="7"/>
  <c r="N241" i="7" s="1"/>
  <c r="Q241" i="7" s="1"/>
  <c r="I240" i="7"/>
  <c r="J240" i="7" s="1"/>
  <c r="I239" i="7"/>
  <c r="P238" i="7"/>
  <c r="I238" i="7"/>
  <c r="J238" i="7" s="1"/>
  <c r="N238" i="7" s="1"/>
  <c r="Q238" i="7" s="1"/>
  <c r="P237" i="7"/>
  <c r="N237" i="7"/>
  <c r="Q237" i="7" s="1"/>
  <c r="J237" i="7"/>
  <c r="M236" i="7"/>
  <c r="N236" i="7" s="1"/>
  <c r="Q236" i="7" s="1"/>
  <c r="J236" i="7"/>
  <c r="I235" i="7"/>
  <c r="J235" i="7" s="1"/>
  <c r="M234" i="7"/>
  <c r="P234" i="7" s="1"/>
  <c r="I234" i="7"/>
  <c r="M233" i="7"/>
  <c r="P233" i="7" s="1"/>
  <c r="J233" i="7"/>
  <c r="I232" i="7"/>
  <c r="M232" i="7" s="1"/>
  <c r="P232" i="7" s="1"/>
  <c r="M231" i="7"/>
  <c r="P231" i="7" s="1"/>
  <c r="I231" i="7"/>
  <c r="J231" i="7" s="1"/>
  <c r="N231" i="7" s="1"/>
  <c r="Q231" i="7" s="1"/>
  <c r="I230" i="7"/>
  <c r="M230" i="7" s="1"/>
  <c r="P230" i="7" s="1"/>
  <c r="J229" i="7"/>
  <c r="N229" i="7" s="1"/>
  <c r="Q229" i="7" s="1"/>
  <c r="I229" i="7"/>
  <c r="M229" i="7" s="1"/>
  <c r="P229" i="7" s="1"/>
  <c r="I228" i="7"/>
  <c r="M228" i="7" s="1"/>
  <c r="P228" i="7" s="1"/>
  <c r="J227" i="7"/>
  <c r="N227" i="7" s="1"/>
  <c r="Q227" i="7" s="1"/>
  <c r="I227" i="7"/>
  <c r="M227" i="7" s="1"/>
  <c r="P227" i="7" s="1"/>
  <c r="I226" i="7"/>
  <c r="M226" i="7" s="1"/>
  <c r="P226" i="7" s="1"/>
  <c r="J225" i="7"/>
  <c r="N225" i="7" s="1"/>
  <c r="Q225" i="7" s="1"/>
  <c r="I225" i="7"/>
  <c r="M225" i="7" s="1"/>
  <c r="P225" i="7" s="1"/>
  <c r="J224" i="7"/>
  <c r="N224" i="7" s="1"/>
  <c r="Q224" i="7" s="1"/>
  <c r="I223" i="7"/>
  <c r="J223" i="7" s="1"/>
  <c r="I222" i="7"/>
  <c r="M221" i="7"/>
  <c r="P221" i="7" s="1"/>
  <c r="J221" i="7"/>
  <c r="N221" i="7" s="1"/>
  <c r="Q221" i="7" s="1"/>
  <c r="M220" i="7"/>
  <c r="P220" i="7" s="1"/>
  <c r="M219" i="7"/>
  <c r="P219" i="7" s="1"/>
  <c r="I219" i="7"/>
  <c r="J219" i="7" s="1"/>
  <c r="F219" i="7" s="1"/>
  <c r="P218" i="7"/>
  <c r="N218" i="7"/>
  <c r="Q218" i="7" s="1"/>
  <c r="I218" i="7"/>
  <c r="J218" i="7" s="1"/>
  <c r="P217" i="7"/>
  <c r="N217" i="7"/>
  <c r="Q217" i="7" s="1"/>
  <c r="I217" i="7"/>
  <c r="J217" i="7" s="1"/>
  <c r="P216" i="7"/>
  <c r="N216" i="7"/>
  <c r="Q216" i="7" s="1"/>
  <c r="I216" i="7"/>
  <c r="J216" i="7" s="1"/>
  <c r="P215" i="7"/>
  <c r="N215" i="7"/>
  <c r="Q215" i="7" s="1"/>
  <c r="I215" i="7"/>
  <c r="J215" i="7" s="1"/>
  <c r="P214" i="7"/>
  <c r="N214" i="7"/>
  <c r="Q214" i="7" s="1"/>
  <c r="I214" i="7"/>
  <c r="J214" i="7" s="1"/>
  <c r="P213" i="7"/>
  <c r="N213" i="7"/>
  <c r="Q213" i="7" s="1"/>
  <c r="I213" i="7"/>
  <c r="J213" i="7" s="1"/>
  <c r="P212" i="7"/>
  <c r="N212" i="7"/>
  <c r="Q212" i="7" s="1"/>
  <c r="I212" i="7"/>
  <c r="J212" i="7" s="1"/>
  <c r="P211" i="7"/>
  <c r="N211" i="7"/>
  <c r="Q211" i="7" s="1"/>
  <c r="I211" i="7"/>
  <c r="J211" i="7" s="1"/>
  <c r="M210" i="7"/>
  <c r="N210" i="7" s="1"/>
  <c r="Q210" i="7" s="1"/>
  <c r="I210" i="7"/>
  <c r="M209" i="7"/>
  <c r="P209" i="7" s="1"/>
  <c r="J209" i="7"/>
  <c r="M208" i="7"/>
  <c r="P208" i="7" s="1"/>
  <c r="J208" i="7"/>
  <c r="P207" i="7"/>
  <c r="N207" i="7"/>
  <c r="Q207" i="7" s="1"/>
  <c r="I207" i="7"/>
  <c r="J207" i="7" s="1"/>
  <c r="M206" i="7"/>
  <c r="P206" i="7" s="1"/>
  <c r="J206" i="7"/>
  <c r="I204" i="7"/>
  <c r="J204" i="7" s="1"/>
  <c r="M203" i="7"/>
  <c r="P203" i="7" s="1"/>
  <c r="I203" i="7"/>
  <c r="J203" i="7" s="1"/>
  <c r="M202" i="7"/>
  <c r="P202" i="7" s="1"/>
  <c r="J202" i="7"/>
  <c r="P201" i="7"/>
  <c r="N201" i="7"/>
  <c r="Q201" i="7" s="1"/>
  <c r="J201" i="7"/>
  <c r="I200" i="7"/>
  <c r="M200" i="7" s="1"/>
  <c r="P200" i="7" s="1"/>
  <c r="I199" i="7"/>
  <c r="J199" i="7" s="1"/>
  <c r="I198" i="7"/>
  <c r="M197" i="7"/>
  <c r="P197" i="7" s="1"/>
  <c r="J197" i="7"/>
  <c r="N197" i="7" s="1"/>
  <c r="Q197" i="7" s="1"/>
  <c r="I196" i="7"/>
  <c r="J196" i="7" s="1"/>
  <c r="I195" i="7"/>
  <c r="J195" i="7" s="1"/>
  <c r="I194" i="7"/>
  <c r="J194" i="7" s="1"/>
  <c r="I193" i="7"/>
  <c r="J193" i="7" s="1"/>
  <c r="I192" i="7"/>
  <c r="J192" i="7" s="1"/>
  <c r="I191" i="7"/>
  <c r="J191" i="7" s="1"/>
  <c r="I190" i="7"/>
  <c r="J190" i="7" s="1"/>
  <c r="I189" i="7"/>
  <c r="I188" i="7"/>
  <c r="J188" i="7" s="1"/>
  <c r="I187" i="7"/>
  <c r="J187" i="7" s="1"/>
  <c r="I186" i="7"/>
  <c r="J186" i="7" s="1"/>
  <c r="P185" i="7"/>
  <c r="N185" i="7"/>
  <c r="Q185" i="7" s="1"/>
  <c r="I185" i="7"/>
  <c r="J185" i="7" s="1"/>
  <c r="I184" i="7"/>
  <c r="J184" i="7" s="1"/>
  <c r="I183" i="7"/>
  <c r="F183" i="7"/>
  <c r="M182" i="7"/>
  <c r="P182" i="7" s="1"/>
  <c r="J182" i="7"/>
  <c r="N182" i="7" s="1"/>
  <c r="Q182" i="7" s="1"/>
  <c r="J181" i="7"/>
  <c r="M180" i="7"/>
  <c r="N180" i="7" s="1"/>
  <c r="Q180" i="7" s="1"/>
  <c r="J180" i="7"/>
  <c r="M179" i="7"/>
  <c r="P179" i="7" s="1"/>
  <c r="I179" i="7"/>
  <c r="J179" i="7" s="1"/>
  <c r="M178" i="7"/>
  <c r="P178" i="7" s="1"/>
  <c r="I178" i="7"/>
  <c r="J178" i="7" s="1"/>
  <c r="I177" i="7"/>
  <c r="J177" i="7" s="1"/>
  <c r="M176" i="7"/>
  <c r="N176" i="7" s="1"/>
  <c r="Q176" i="7" s="1"/>
  <c r="I176" i="7"/>
  <c r="M175" i="7"/>
  <c r="P175" i="7" s="1"/>
  <c r="J175" i="7"/>
  <c r="I174" i="7"/>
  <c r="J174" i="7" s="1"/>
  <c r="M173" i="7"/>
  <c r="P173" i="7" s="1"/>
  <c r="I173" i="7"/>
  <c r="J173" i="7" s="1"/>
  <c r="M172" i="7"/>
  <c r="P172" i="7" s="1"/>
  <c r="I172" i="7"/>
  <c r="J172" i="7" s="1"/>
  <c r="I171" i="7"/>
  <c r="M171" i="7" s="1"/>
  <c r="P171" i="7" s="1"/>
  <c r="M170" i="7"/>
  <c r="P170" i="7" s="1"/>
  <c r="J170" i="7"/>
  <c r="N170" i="7" s="1"/>
  <c r="Q170" i="7" s="1"/>
  <c r="M169" i="7"/>
  <c r="P169" i="7" s="1"/>
  <c r="J169" i="7"/>
  <c r="N169" i="7" s="1"/>
  <c r="Q169" i="7" s="1"/>
  <c r="M168" i="7"/>
  <c r="P168" i="7" s="1"/>
  <c r="J168" i="7"/>
  <c r="P167" i="7"/>
  <c r="N167" i="7"/>
  <c r="Q167" i="7" s="1"/>
  <c r="P166" i="7"/>
  <c r="N166" i="7"/>
  <c r="Q166" i="7" s="1"/>
  <c r="P165" i="7"/>
  <c r="N165" i="7"/>
  <c r="Q165" i="7" s="1"/>
  <c r="P164" i="7"/>
  <c r="N164" i="7"/>
  <c r="Q164" i="7" s="1"/>
  <c r="P163" i="7"/>
  <c r="N163" i="7"/>
  <c r="Q163" i="7" s="1"/>
  <c r="J163" i="7"/>
  <c r="P162" i="7"/>
  <c r="N162" i="7"/>
  <c r="Q162" i="7" s="1"/>
  <c r="J162" i="7"/>
  <c r="P161" i="7"/>
  <c r="N161" i="7"/>
  <c r="Q161" i="7" s="1"/>
  <c r="J161" i="7"/>
  <c r="I160" i="7"/>
  <c r="J160" i="7" s="1"/>
  <c r="I159" i="7"/>
  <c r="J159" i="7" s="1"/>
  <c r="I158" i="7"/>
  <c r="J158" i="7" s="1"/>
  <c r="I157" i="7"/>
  <c r="J157" i="7" s="1"/>
  <c r="M156" i="7"/>
  <c r="P156" i="7" s="1"/>
  <c r="I156" i="7"/>
  <c r="J156" i="7" s="1"/>
  <c r="J155" i="7"/>
  <c r="P154" i="7"/>
  <c r="N154" i="7"/>
  <c r="Q154" i="7" s="1"/>
  <c r="J154" i="7"/>
  <c r="P153" i="7"/>
  <c r="N153" i="7"/>
  <c r="Q153" i="7" s="1"/>
  <c r="J153" i="7"/>
  <c r="P152" i="7"/>
  <c r="N152" i="7"/>
  <c r="Q152" i="7" s="1"/>
  <c r="J152" i="7"/>
  <c r="M151" i="7"/>
  <c r="N151" i="7" s="1"/>
  <c r="Q151" i="7" s="1"/>
  <c r="J151" i="7"/>
  <c r="M150" i="7"/>
  <c r="P150" i="7" s="1"/>
  <c r="J150" i="7"/>
  <c r="N150" i="7" s="1"/>
  <c r="Q150" i="7" s="1"/>
  <c r="I149" i="7"/>
  <c r="J149" i="7" s="1"/>
  <c r="I148" i="7"/>
  <c r="J148" i="7" s="1"/>
  <c r="P147" i="7"/>
  <c r="N147" i="7"/>
  <c r="Q147" i="7" s="1"/>
  <c r="I147" i="7"/>
  <c r="J147" i="7" s="1"/>
  <c r="M146" i="7"/>
  <c r="P146" i="7" s="1"/>
  <c r="J146" i="7"/>
  <c r="I145" i="7"/>
  <c r="M145" i="7" s="1"/>
  <c r="P145" i="7" s="1"/>
  <c r="M144" i="7"/>
  <c r="P144" i="7" s="1"/>
  <c r="J144" i="7"/>
  <c r="P143" i="7"/>
  <c r="N143" i="7"/>
  <c r="Q143" i="7" s="1"/>
  <c r="I143" i="7"/>
  <c r="J143" i="7" s="1"/>
  <c r="J142" i="7"/>
  <c r="M141" i="7"/>
  <c r="N141" i="7" s="1"/>
  <c r="Q141" i="7" s="1"/>
  <c r="J141" i="7"/>
  <c r="P140" i="7"/>
  <c r="I140" i="7"/>
  <c r="J140" i="7" s="1"/>
  <c r="N140" i="7" s="1"/>
  <c r="Q140" i="7" s="1"/>
  <c r="J139" i="7"/>
  <c r="I139" i="7"/>
  <c r="I138" i="7"/>
  <c r="J138" i="7" s="1"/>
  <c r="M137" i="7"/>
  <c r="P137" i="7" s="1"/>
  <c r="I137" i="7"/>
  <c r="J137" i="7" s="1"/>
  <c r="I136" i="7"/>
  <c r="J136" i="7" s="1"/>
  <c r="M135" i="7"/>
  <c r="P135" i="7" s="1"/>
  <c r="J135" i="7"/>
  <c r="I135" i="7"/>
  <c r="M134" i="7"/>
  <c r="P134" i="7" s="1"/>
  <c r="J134" i="7"/>
  <c r="N134" i="7" s="1"/>
  <c r="Q134" i="7" s="1"/>
  <c r="I133" i="7"/>
  <c r="J133" i="7" s="1"/>
  <c r="P132" i="7"/>
  <c r="N132" i="7"/>
  <c r="Q132" i="7" s="1"/>
  <c r="I132" i="7"/>
  <c r="J132" i="7" s="1"/>
  <c r="M131" i="7"/>
  <c r="P131" i="7" s="1"/>
  <c r="J131" i="7"/>
  <c r="N131" i="7" s="1"/>
  <c r="Q131" i="7" s="1"/>
  <c r="M130" i="7"/>
  <c r="P130" i="7" s="1"/>
  <c r="J130" i="7"/>
  <c r="N130" i="7" s="1"/>
  <c r="Q130" i="7" s="1"/>
  <c r="M129" i="7"/>
  <c r="P129" i="7" s="1"/>
  <c r="J129" i="7"/>
  <c r="N129" i="7" s="1"/>
  <c r="Q129" i="7" s="1"/>
  <c r="M128" i="7"/>
  <c r="P128" i="7" s="1"/>
  <c r="J128" i="7"/>
  <c r="N128" i="7" s="1"/>
  <c r="Q128" i="7" s="1"/>
  <c r="I127" i="7"/>
  <c r="J127" i="7" s="1"/>
  <c r="I126" i="7"/>
  <c r="J126" i="7" s="1"/>
  <c r="I125" i="7"/>
  <c r="J125" i="7" s="1"/>
  <c r="I124" i="7"/>
  <c r="J124" i="7" s="1"/>
  <c r="I123" i="7"/>
  <c r="J123" i="7" s="1"/>
  <c r="I122" i="7"/>
  <c r="J122" i="7" s="1"/>
  <c r="I121" i="7"/>
  <c r="M120" i="7"/>
  <c r="P120" i="7" s="1"/>
  <c r="J120" i="7"/>
  <c r="N120" i="7" s="1"/>
  <c r="Q120" i="7" s="1"/>
  <c r="M119" i="7"/>
  <c r="P119" i="7" s="1"/>
  <c r="J119" i="7"/>
  <c r="N119" i="7" s="1"/>
  <c r="Q119" i="7" s="1"/>
  <c r="P118" i="7"/>
  <c r="N118" i="7"/>
  <c r="Q118" i="7" s="1"/>
  <c r="P117" i="7"/>
  <c r="N117" i="7"/>
  <c r="Q117" i="7" s="1"/>
  <c r="J117" i="7"/>
  <c r="I116" i="7"/>
  <c r="J116" i="7" s="1"/>
  <c r="I115" i="7"/>
  <c r="J115" i="7" s="1"/>
  <c r="I114" i="7"/>
  <c r="J114" i="7" s="1"/>
  <c r="I113" i="7"/>
  <c r="J113" i="7" s="1"/>
  <c r="I112" i="7"/>
  <c r="M111" i="7"/>
  <c r="P111" i="7" s="1"/>
  <c r="J111" i="7"/>
  <c r="N111" i="7" s="1"/>
  <c r="J110" i="7"/>
  <c r="J109" i="7"/>
  <c r="M108" i="7"/>
  <c r="P108" i="7" s="1"/>
  <c r="J108" i="7"/>
  <c r="M107" i="7"/>
  <c r="P107" i="7" s="1"/>
  <c r="J107" i="7"/>
  <c r="N107" i="7" s="1"/>
  <c r="Q107" i="7" s="1"/>
  <c r="P106" i="7"/>
  <c r="Q106" i="7" s="1"/>
  <c r="N106" i="7"/>
  <c r="I106" i="7"/>
  <c r="J106" i="7" s="1"/>
  <c r="P105" i="7"/>
  <c r="Q105" i="7" s="1"/>
  <c r="N105" i="7"/>
  <c r="I105" i="7"/>
  <c r="J105" i="7" s="1"/>
  <c r="P104" i="7"/>
  <c r="Q104" i="7" s="1"/>
  <c r="N104" i="7"/>
  <c r="I104" i="7"/>
  <c r="J104" i="7" s="1"/>
  <c r="P103" i="7"/>
  <c r="Q103" i="7" s="1"/>
  <c r="N103" i="7"/>
  <c r="I103" i="7"/>
  <c r="J103" i="7" s="1"/>
  <c r="P102" i="7"/>
  <c r="Q102" i="7" s="1"/>
  <c r="N102" i="7"/>
  <c r="I102" i="7"/>
  <c r="J102" i="7" s="1"/>
  <c r="P101" i="7"/>
  <c r="Q101" i="7" s="1"/>
  <c r="N101" i="7"/>
  <c r="I101" i="7"/>
  <c r="J101" i="7" s="1"/>
  <c r="P100" i="7"/>
  <c r="Q100" i="7" s="1"/>
  <c r="N100" i="7"/>
  <c r="I100" i="7"/>
  <c r="J100" i="7" s="1"/>
  <c r="P99" i="7"/>
  <c r="Q99" i="7" s="1"/>
  <c r="N99" i="7"/>
  <c r="I99" i="7"/>
  <c r="J99" i="7" s="1"/>
  <c r="P98" i="7"/>
  <c r="Q98" i="7" s="1"/>
  <c r="N98" i="7"/>
  <c r="I98" i="7"/>
  <c r="J98" i="7" s="1"/>
  <c r="P97" i="7"/>
  <c r="Q97" i="7" s="1"/>
  <c r="N97" i="7"/>
  <c r="I97" i="7"/>
  <c r="J97" i="7" s="1"/>
  <c r="P96" i="7"/>
  <c r="Q96" i="7" s="1"/>
  <c r="N96" i="7"/>
  <c r="I96" i="7"/>
  <c r="J96" i="7" s="1"/>
  <c r="P95" i="7"/>
  <c r="Q95" i="7" s="1"/>
  <c r="N95" i="7"/>
  <c r="I95" i="7"/>
  <c r="J95" i="7" s="1"/>
  <c r="P94" i="7"/>
  <c r="Q94" i="7" s="1"/>
  <c r="N94" i="7"/>
  <c r="I94" i="7"/>
  <c r="J94" i="7" s="1"/>
  <c r="P93" i="7"/>
  <c r="Q93" i="7" s="1"/>
  <c r="N93" i="7"/>
  <c r="I93" i="7"/>
  <c r="J93" i="7" s="1"/>
  <c r="P92" i="7"/>
  <c r="Q92" i="7" s="1"/>
  <c r="N92" i="7"/>
  <c r="I92" i="7"/>
  <c r="J92" i="7" s="1"/>
  <c r="P91" i="7"/>
  <c r="Q91" i="7" s="1"/>
  <c r="N91" i="7"/>
  <c r="I91" i="7"/>
  <c r="J91" i="7" s="1"/>
  <c r="P90" i="7"/>
  <c r="Q90" i="7" s="1"/>
  <c r="N90" i="7"/>
  <c r="I90" i="7"/>
  <c r="J90" i="7" s="1"/>
  <c r="P89" i="7"/>
  <c r="Q89" i="7" s="1"/>
  <c r="N89" i="7"/>
  <c r="I89" i="7"/>
  <c r="J89" i="7" s="1"/>
  <c r="P88" i="7"/>
  <c r="Q88" i="7" s="1"/>
  <c r="N88" i="7"/>
  <c r="I88" i="7"/>
  <c r="J88" i="7" s="1"/>
  <c r="P87" i="7"/>
  <c r="Q87" i="7" s="1"/>
  <c r="N87" i="7"/>
  <c r="I87" i="7"/>
  <c r="J87" i="7" s="1"/>
  <c r="P86" i="7"/>
  <c r="Q86" i="7" s="1"/>
  <c r="N86" i="7"/>
  <c r="I86" i="7"/>
  <c r="J86" i="7" s="1"/>
  <c r="P85" i="7"/>
  <c r="Q85" i="7" s="1"/>
  <c r="N85" i="7"/>
  <c r="I85" i="7"/>
  <c r="J85" i="7" s="1"/>
  <c r="P84" i="7"/>
  <c r="Q84" i="7" s="1"/>
  <c r="N84" i="7"/>
  <c r="I84" i="7"/>
  <c r="J84" i="7" s="1"/>
  <c r="P83" i="7"/>
  <c r="Q83" i="7" s="1"/>
  <c r="N83" i="7"/>
  <c r="I83" i="7"/>
  <c r="J83" i="7" s="1"/>
  <c r="P82" i="7"/>
  <c r="Q82" i="7" s="1"/>
  <c r="N82" i="7"/>
  <c r="I82" i="7"/>
  <c r="J82" i="7" s="1"/>
  <c r="P81" i="7"/>
  <c r="Q81" i="7" s="1"/>
  <c r="N81" i="7"/>
  <c r="I81" i="7"/>
  <c r="J81" i="7" s="1"/>
  <c r="P80" i="7"/>
  <c r="Q80" i="7" s="1"/>
  <c r="N80" i="7"/>
  <c r="I80" i="7"/>
  <c r="J80" i="7" s="1"/>
  <c r="Q79" i="7"/>
  <c r="P79" i="7"/>
  <c r="N79" i="7"/>
  <c r="I79" i="7"/>
  <c r="J79" i="7" s="1"/>
  <c r="P78" i="7"/>
  <c r="Q78" i="7" s="1"/>
  <c r="N78" i="7"/>
  <c r="J78" i="7"/>
  <c r="I78" i="7"/>
  <c r="P77" i="7"/>
  <c r="Q77" i="7" s="1"/>
  <c r="N77" i="7"/>
  <c r="I77" i="7"/>
  <c r="J77" i="7" s="1"/>
  <c r="P76" i="7"/>
  <c r="Q76" i="7" s="1"/>
  <c r="N76" i="7"/>
  <c r="I76" i="7"/>
  <c r="J76" i="7" s="1"/>
  <c r="P75" i="7"/>
  <c r="Q75" i="7" s="1"/>
  <c r="N75" i="7"/>
  <c r="I75" i="7"/>
  <c r="J75" i="7" s="1"/>
  <c r="J74" i="7"/>
  <c r="J73" i="7"/>
  <c r="J72" i="7"/>
  <c r="I71" i="7"/>
  <c r="J71" i="7" s="1"/>
  <c r="J70" i="7"/>
  <c r="J69" i="7"/>
  <c r="J68" i="7"/>
  <c r="J67" i="7"/>
  <c r="J66" i="7"/>
  <c r="I65" i="7"/>
  <c r="J65" i="7" s="1"/>
  <c r="M64" i="7"/>
  <c r="P64" i="7" s="1"/>
  <c r="J64" i="7"/>
  <c r="N64" i="7" s="1"/>
  <c r="Q64" i="7" s="1"/>
  <c r="J63" i="7"/>
  <c r="M63" i="7" s="1"/>
  <c r="M62" i="7"/>
  <c r="P62" i="7" s="1"/>
  <c r="J62" i="7"/>
  <c r="N62" i="7" s="1"/>
  <c r="Q62" i="7" s="1"/>
  <c r="M61" i="7"/>
  <c r="P61" i="7" s="1"/>
  <c r="J61" i="7"/>
  <c r="N61" i="7" s="1"/>
  <c r="Q61" i="7" s="1"/>
  <c r="M60" i="7"/>
  <c r="P60" i="7" s="1"/>
  <c r="J60" i="7"/>
  <c r="N60" i="7" s="1"/>
  <c r="Q60" i="7" s="1"/>
  <c r="M59" i="7"/>
  <c r="P59" i="7" s="1"/>
  <c r="J59" i="7"/>
  <c r="N59" i="7" s="1"/>
  <c r="Q59" i="7" s="1"/>
  <c r="P58" i="7"/>
  <c r="N58" i="7"/>
  <c r="Q58" i="7" s="1"/>
  <c r="I58" i="7"/>
  <c r="J58" i="7" s="1"/>
  <c r="F58" i="7" s="1"/>
  <c r="P57" i="7"/>
  <c r="N57" i="7"/>
  <c r="Q57" i="7" s="1"/>
  <c r="P56" i="7"/>
  <c r="N56" i="7"/>
  <c r="Q56" i="7" s="1"/>
  <c r="J56" i="7"/>
  <c r="P55" i="7"/>
  <c r="N55" i="7"/>
  <c r="Q55" i="7" s="1"/>
  <c r="P54" i="7"/>
  <c r="N54" i="7"/>
  <c r="Q54" i="7" s="1"/>
  <c r="J54" i="7"/>
  <c r="M53" i="7"/>
  <c r="P53" i="7" s="1"/>
  <c r="J53" i="7"/>
  <c r="M52" i="7"/>
  <c r="N52" i="7" s="1"/>
  <c r="Q52" i="7" s="1"/>
  <c r="J52" i="7"/>
  <c r="P51" i="7"/>
  <c r="J51" i="7"/>
  <c r="N51" i="7" s="1"/>
  <c r="Q51" i="7" s="1"/>
  <c r="P50" i="7"/>
  <c r="J50" i="7"/>
  <c r="N50" i="7" s="1"/>
  <c r="Q50" i="7" s="1"/>
  <c r="M49" i="7"/>
  <c r="P49" i="7" s="1"/>
  <c r="J49" i="7"/>
  <c r="N49" i="7" s="1"/>
  <c r="Q49" i="7" s="1"/>
  <c r="M48" i="7"/>
  <c r="P48" i="7" s="1"/>
  <c r="J48" i="7"/>
  <c r="N48" i="7" s="1"/>
  <c r="Q48" i="7" s="1"/>
  <c r="J47" i="7"/>
  <c r="M46" i="7"/>
  <c r="P46" i="7" s="1"/>
  <c r="J46" i="7"/>
  <c r="M45" i="7"/>
  <c r="P45" i="7" s="1"/>
  <c r="J45" i="7"/>
  <c r="N45" i="7" s="1"/>
  <c r="Q45" i="7" s="1"/>
  <c r="M44" i="7"/>
  <c r="P44" i="7" s="1"/>
  <c r="J44" i="7"/>
  <c r="F44" i="7" s="1"/>
  <c r="J43" i="7"/>
  <c r="M42" i="7"/>
  <c r="P42" i="7" s="1"/>
  <c r="J42" i="7"/>
  <c r="M41" i="7"/>
  <c r="P41" i="7" s="1"/>
  <c r="J41" i="7"/>
  <c r="N41" i="7" s="1"/>
  <c r="Q41" i="7" s="1"/>
  <c r="I40" i="7"/>
  <c r="F40" i="7" s="1"/>
  <c r="P39" i="7"/>
  <c r="N39" i="7"/>
  <c r="Q39" i="7" s="1"/>
  <c r="I39" i="7"/>
  <c r="F39" i="7" s="1"/>
  <c r="P38" i="7"/>
  <c r="N38" i="7"/>
  <c r="Q38" i="7" s="1"/>
  <c r="J38" i="7"/>
  <c r="P37" i="7"/>
  <c r="N37" i="7"/>
  <c r="Q37" i="7" s="1"/>
  <c r="J37" i="7"/>
  <c r="P36" i="7"/>
  <c r="N36" i="7"/>
  <c r="Q36" i="7" s="1"/>
  <c r="I36" i="7"/>
  <c r="F36" i="7"/>
  <c r="J35" i="7"/>
  <c r="M34" i="7"/>
  <c r="P34" i="7" s="1"/>
  <c r="J34" i="7"/>
  <c r="M33" i="7"/>
  <c r="P33" i="7" s="1"/>
  <c r="J33" i="7"/>
  <c r="N33" i="7" s="1"/>
  <c r="Q33" i="7" s="1"/>
  <c r="J32" i="7"/>
  <c r="M31" i="7"/>
  <c r="P31" i="7" s="1"/>
  <c r="J31" i="7"/>
  <c r="J30" i="7"/>
  <c r="M29" i="7"/>
  <c r="P29" i="7" s="1"/>
  <c r="J29" i="7"/>
  <c r="M28" i="7"/>
  <c r="P28" i="7" s="1"/>
  <c r="J28" i="7"/>
  <c r="N28" i="7" s="1"/>
  <c r="Q28" i="7" s="1"/>
  <c r="J27" i="7"/>
  <c r="M26" i="7"/>
  <c r="P26" i="7" s="1"/>
  <c r="J26" i="7"/>
  <c r="J25" i="7"/>
  <c r="J24" i="7"/>
  <c r="D24" i="7"/>
  <c r="C24" i="7"/>
  <c r="J23" i="7"/>
  <c r="M22" i="7"/>
  <c r="P22" i="7" s="1"/>
  <c r="J22" i="7"/>
  <c r="D22" i="7"/>
  <c r="C22" i="7"/>
  <c r="P21" i="7"/>
  <c r="N21" i="7"/>
  <c r="Q21" i="7" s="1"/>
  <c r="J21" i="7"/>
  <c r="P20" i="7"/>
  <c r="N20" i="7"/>
  <c r="Q20" i="7" s="1"/>
  <c r="J20" i="7"/>
  <c r="J19" i="7"/>
  <c r="J18" i="7"/>
  <c r="J17" i="7"/>
  <c r="J16" i="7"/>
  <c r="J15" i="7"/>
  <c r="M14" i="7"/>
  <c r="N14" i="7" s="1"/>
  <c r="Q14" i="7" s="1"/>
  <c r="J14" i="7"/>
  <c r="D14" i="7"/>
  <c r="C14" i="7"/>
  <c r="N108" i="7" l="1"/>
  <c r="Q108" i="7" s="1"/>
  <c r="M121" i="7"/>
  <c r="P121" i="7" s="1"/>
  <c r="M239" i="7"/>
  <c r="P239" i="7" s="1"/>
  <c r="R233" i="7"/>
  <c r="M409" i="7"/>
  <c r="P409" i="7" s="1"/>
  <c r="P14" i="7"/>
  <c r="N178" i="7"/>
  <c r="Q178" i="7" s="1"/>
  <c r="J409" i="7"/>
  <c r="N409" i="7" s="1"/>
  <c r="Q409" i="7" s="1"/>
  <c r="N345" i="7"/>
  <c r="Q345" i="7" s="1"/>
  <c r="M183" i="7"/>
  <c r="P183" i="7" s="1"/>
  <c r="M189" i="7"/>
  <c r="P189" i="7" s="1"/>
  <c r="M222" i="7"/>
  <c r="P222" i="7" s="1"/>
  <c r="J239" i="7"/>
  <c r="N239" i="7" s="1"/>
  <c r="Q239" i="7" s="1"/>
  <c r="M242" i="7"/>
  <c r="N242" i="7" s="1"/>
  <c r="Q242" i="7" s="1"/>
  <c r="N267" i="7"/>
  <c r="Q267" i="7" s="1"/>
  <c r="F267" i="7" s="1"/>
  <c r="N294" i="7"/>
  <c r="Q294" i="7" s="1"/>
  <c r="N308" i="7"/>
  <c r="Q308" i="7" s="1"/>
  <c r="P328" i="7"/>
  <c r="M425" i="7"/>
  <c r="P425" i="7" s="1"/>
  <c r="M437" i="7"/>
  <c r="P437" i="7" s="1"/>
  <c r="N26" i="7"/>
  <c r="Q26" i="7" s="1"/>
  <c r="M112" i="7"/>
  <c r="P112" i="7" s="1"/>
  <c r="N186" i="7"/>
  <c r="Q186" i="7" s="1"/>
  <c r="M267" i="7"/>
  <c r="P267" i="7" s="1"/>
  <c r="M356" i="7"/>
  <c r="P356" i="7" s="1"/>
  <c r="N434" i="7"/>
  <c r="Q434" i="7" s="1"/>
  <c r="P456" i="7"/>
  <c r="N29" i="7"/>
  <c r="Q29" i="7" s="1"/>
  <c r="R141" i="7"/>
  <c r="M244" i="7"/>
  <c r="P244" i="7" s="1"/>
  <c r="M275" i="7"/>
  <c r="P275" i="7" s="1"/>
  <c r="M284" i="7"/>
  <c r="P284" i="7" s="1"/>
  <c r="P295" i="7"/>
  <c r="P384" i="7"/>
  <c r="N427" i="7"/>
  <c r="Q427" i="7" s="1"/>
  <c r="N450" i="7"/>
  <c r="Q450" i="7" s="1"/>
  <c r="J452" i="7"/>
  <c r="N452" i="7" s="1"/>
  <c r="R210" i="7"/>
  <c r="I224" i="7"/>
  <c r="M224" i="7" s="1"/>
  <c r="P224" i="7" s="1"/>
  <c r="J242" i="7"/>
  <c r="M256" i="7"/>
  <c r="P256" i="7" s="1"/>
  <c r="N284" i="7"/>
  <c r="Q284" i="7" s="1"/>
  <c r="N311" i="7"/>
  <c r="Q311" i="7" s="1"/>
  <c r="M354" i="7"/>
  <c r="P354" i="7" s="1"/>
  <c r="F382" i="7"/>
  <c r="M427" i="7"/>
  <c r="P427" i="7" s="1"/>
  <c r="N444" i="7"/>
  <c r="Q444" i="7" s="1"/>
  <c r="M40" i="7"/>
  <c r="N42" i="7"/>
  <c r="Q42" i="7" s="1"/>
  <c r="N46" i="7"/>
  <c r="Q46" i="7" s="1"/>
  <c r="I51" i="7"/>
  <c r="I412" i="7" s="1"/>
  <c r="P141" i="7"/>
  <c r="N144" i="7"/>
  <c r="Q144" i="7" s="1"/>
  <c r="N145" i="7"/>
  <c r="Q145" i="7" s="1"/>
  <c r="N234" i="7"/>
  <c r="Q234" i="7" s="1"/>
  <c r="M235" i="7"/>
  <c r="P235" i="7" s="1"/>
  <c r="M272" i="7"/>
  <c r="P272" i="7" s="1"/>
  <c r="N289" i="7"/>
  <c r="Q289" i="7" s="1"/>
  <c r="M300" i="7"/>
  <c r="P300" i="7" s="1"/>
  <c r="N336" i="7"/>
  <c r="Q336" i="7" s="1"/>
  <c r="F365" i="7"/>
  <c r="Q433" i="7"/>
  <c r="N446" i="7"/>
  <c r="Q446" i="7" s="1"/>
  <c r="N34" i="7"/>
  <c r="Q34" i="7" s="1"/>
  <c r="J171" i="7"/>
  <c r="N171" i="7" s="1"/>
  <c r="Q171" i="7" s="1"/>
  <c r="N172" i="7"/>
  <c r="Q172" i="7" s="1"/>
  <c r="R176" i="7"/>
  <c r="M186" i="7"/>
  <c r="P186" i="7" s="1"/>
  <c r="N203" i="7"/>
  <c r="Q203" i="7" s="1"/>
  <c r="N219" i="7"/>
  <c r="Q219" i="7" s="1"/>
  <c r="N233" i="7"/>
  <c r="Q233" i="7" s="1"/>
  <c r="M336" i="7"/>
  <c r="P336" i="7" s="1"/>
  <c r="J355" i="7"/>
  <c r="N453" i="7"/>
  <c r="N22" i="7"/>
  <c r="Q22" i="7" s="1"/>
  <c r="N31" i="7"/>
  <c r="Q31" i="7" s="1"/>
  <c r="N53" i="7"/>
  <c r="Q53" i="7" s="1"/>
  <c r="M198" i="7"/>
  <c r="P198" i="7" s="1"/>
  <c r="N206" i="7"/>
  <c r="Q206" i="7" s="1"/>
  <c r="P210" i="7"/>
  <c r="S210" i="7" s="1"/>
  <c r="F270" i="7"/>
  <c r="J275" i="7"/>
  <c r="N275" i="7" s="1"/>
  <c r="Q275" i="7" s="1"/>
  <c r="F294" i="7"/>
  <c r="N330" i="7"/>
  <c r="Q330" i="7" s="1"/>
  <c r="N354" i="7"/>
  <c r="Q354" i="7" s="1"/>
  <c r="F354" i="7" s="1"/>
  <c r="N389" i="7"/>
  <c r="Q389" i="7" s="1"/>
  <c r="M452" i="7"/>
  <c r="M24" i="7"/>
  <c r="P24" i="7" s="1"/>
  <c r="N44" i="7"/>
  <c r="Q44" i="7" s="1"/>
  <c r="P52" i="7"/>
  <c r="F60" i="7"/>
  <c r="M65" i="7"/>
  <c r="P65" i="7" s="1"/>
  <c r="P176" i="7"/>
  <c r="P180" i="7"/>
  <c r="N220" i="7"/>
  <c r="Q220" i="7" s="1"/>
  <c r="P236" i="7"/>
  <c r="N272" i="7"/>
  <c r="Q272" i="7" s="1"/>
  <c r="N300" i="7"/>
  <c r="Q300" i="7" s="1"/>
  <c r="N329" i="7"/>
  <c r="Q329" i="7" s="1"/>
  <c r="F371" i="7"/>
  <c r="M446" i="7"/>
  <c r="P446" i="7" s="1"/>
  <c r="M454" i="7"/>
  <c r="E29" i="8"/>
  <c r="E30" i="8" s="1"/>
  <c r="P63" i="7"/>
  <c r="N63" i="7"/>
  <c r="Q63" i="7" s="1"/>
  <c r="N24" i="7"/>
  <c r="Q24" i="7" s="1"/>
  <c r="P242" i="7"/>
  <c r="N298" i="7"/>
  <c r="Q298" i="7" s="1"/>
  <c r="N204" i="7"/>
  <c r="Q204" i="7" s="1"/>
  <c r="F204" i="7"/>
  <c r="Q111" i="7"/>
  <c r="F111" i="7"/>
  <c r="Q264" i="7"/>
  <c r="F264" i="7"/>
  <c r="J121" i="7"/>
  <c r="N121" i="7" s="1"/>
  <c r="Q121" i="7" s="1"/>
  <c r="N135" i="7"/>
  <c r="Q135" i="7" s="1"/>
  <c r="N137" i="7"/>
  <c r="Q137" i="7" s="1"/>
  <c r="N146" i="7"/>
  <c r="Q146" i="7" s="1"/>
  <c r="P151" i="7"/>
  <c r="N156" i="7"/>
  <c r="Q156" i="7" s="1"/>
  <c r="N175" i="7"/>
  <c r="Q175" i="7" s="1"/>
  <c r="J176" i="7"/>
  <c r="J189" i="7"/>
  <c r="N189" i="7" s="1"/>
  <c r="Q189" i="7" s="1"/>
  <c r="N202" i="7"/>
  <c r="Q202" i="7" s="1"/>
  <c r="M204" i="7"/>
  <c r="P204" i="7" s="1"/>
  <c r="N208" i="7"/>
  <c r="Q208" i="7" s="1"/>
  <c r="J325" i="7"/>
  <c r="N325" i="7" s="1"/>
  <c r="Q325" i="7" s="1"/>
  <c r="M325" i="7"/>
  <c r="P325" i="7" s="1"/>
  <c r="M335" i="7"/>
  <c r="P335" i="7" s="1"/>
  <c r="S107" i="7"/>
  <c r="J112" i="7"/>
  <c r="N112" i="7" s="1"/>
  <c r="N168" i="7"/>
  <c r="Q168" i="7" s="1"/>
  <c r="N173" i="7"/>
  <c r="Q173" i="7" s="1"/>
  <c r="N179" i="7"/>
  <c r="Q179" i="7" s="1"/>
  <c r="J183" i="7"/>
  <c r="N183" i="7" s="1"/>
  <c r="Q183" i="7" s="1"/>
  <c r="J198" i="7"/>
  <c r="N198" i="7" s="1"/>
  <c r="Q198" i="7" s="1"/>
  <c r="J200" i="7"/>
  <c r="N200" i="7" s="1"/>
  <c r="Q200" i="7" s="1"/>
  <c r="N209" i="7"/>
  <c r="Q209" i="7" s="1"/>
  <c r="J210" i="7"/>
  <c r="J222" i="7"/>
  <c r="N222" i="7" s="1"/>
  <c r="Q222" i="7" s="1"/>
  <c r="J226" i="7"/>
  <c r="N226" i="7" s="1"/>
  <c r="Q226" i="7" s="1"/>
  <c r="J228" i="7"/>
  <c r="N228" i="7" s="1"/>
  <c r="Q228" i="7" s="1"/>
  <c r="J230" i="7"/>
  <c r="N230" i="7" s="1"/>
  <c r="Q230" i="7" s="1"/>
  <c r="J232" i="7"/>
  <c r="N232" i="7" s="1"/>
  <c r="Q232" i="7" s="1"/>
  <c r="J234" i="7"/>
  <c r="J256" i="7"/>
  <c r="N256" i="7" s="1"/>
  <c r="Q256" i="7" s="1"/>
  <c r="N263" i="7"/>
  <c r="M264" i="7"/>
  <c r="P264" i="7" s="1"/>
  <c r="J307" i="7"/>
  <c r="N307" i="7" s="1"/>
  <c r="Q307" i="7" s="1"/>
  <c r="M310" i="7"/>
  <c r="P310" i="7" s="1"/>
  <c r="P331" i="7"/>
  <c r="N331" i="7"/>
  <c r="Q331" i="7" s="1"/>
  <c r="P344" i="7"/>
  <c r="R151" i="7"/>
  <c r="T151" i="7" s="1"/>
  <c r="J244" i="7"/>
  <c r="N244" i="7" s="1"/>
  <c r="Q244" i="7" s="1"/>
  <c r="N255" i="7"/>
  <c r="Q255" i="7" s="1"/>
  <c r="M298" i="7"/>
  <c r="P298" i="7" s="1"/>
  <c r="M308" i="7"/>
  <c r="N356" i="7"/>
  <c r="Q356" i="7" s="1"/>
  <c r="F356" i="7" s="1"/>
  <c r="N326" i="7"/>
  <c r="Q326" i="7" s="1"/>
  <c r="R326" i="7"/>
  <c r="P326" i="7"/>
  <c r="P327" i="7"/>
  <c r="N327" i="7"/>
  <c r="Q327" i="7" s="1"/>
  <c r="N347" i="7"/>
  <c r="Q347" i="7" s="1"/>
  <c r="F389" i="7"/>
  <c r="N371" i="7"/>
  <c r="Q371" i="7" s="1"/>
  <c r="P382" i="7"/>
  <c r="N383" i="7"/>
  <c r="Q383" i="7" s="1"/>
  <c r="M423" i="7"/>
  <c r="J424" i="7"/>
  <c r="N423" i="7" s="1"/>
  <c r="J437" i="7"/>
  <c r="N437" i="7" s="1"/>
  <c r="Q437" i="7" s="1"/>
  <c r="M444" i="7"/>
  <c r="P444" i="7" s="1"/>
  <c r="M453" i="7"/>
  <c r="J454" i="7"/>
  <c r="J364" i="7"/>
  <c r="N364" i="7" s="1"/>
  <c r="Q364" i="7" s="1"/>
  <c r="N366" i="7"/>
  <c r="Q366" i="7" s="1"/>
  <c r="J425" i="7"/>
  <c r="N425" i="7" s="1"/>
  <c r="Q425" i="7" s="1"/>
  <c r="J429" i="7"/>
  <c r="I430" i="7"/>
  <c r="J430" i="7" s="1"/>
  <c r="Q452" i="7"/>
  <c r="P453" i="7"/>
  <c r="R365" i="7"/>
  <c r="R344" i="7" l="1"/>
  <c r="N235" i="7"/>
  <c r="Q235" i="7" s="1"/>
  <c r="N65" i="7"/>
  <c r="Q65" i="7" s="1"/>
  <c r="F425" i="7"/>
  <c r="F458" i="7" s="1"/>
  <c r="N429" i="7"/>
  <c r="Q429" i="7" s="1"/>
  <c r="M429" i="7"/>
  <c r="P429" i="7" s="1"/>
  <c r="N40" i="7"/>
  <c r="Q40" i="7" s="1"/>
  <c r="P40" i="7"/>
  <c r="I458" i="7"/>
  <c r="M412" i="7"/>
  <c r="N454" i="7"/>
  <c r="Q454" i="7"/>
  <c r="P423" i="7"/>
  <c r="R308" i="7"/>
  <c r="P308" i="7"/>
  <c r="P412" i="7" s="1"/>
  <c r="F262" i="7"/>
  <c r="Q263" i="7"/>
  <c r="Q423" i="7"/>
  <c r="J458" i="7"/>
  <c r="F112" i="7"/>
  <c r="Q112" i="7"/>
  <c r="J412" i="7"/>
  <c r="R242" i="7"/>
  <c r="Q412" i="7" l="1"/>
  <c r="M458" i="7"/>
  <c r="F412" i="7"/>
  <c r="N458" i="7"/>
  <c r="N412" i="7"/>
  <c r="Q458" i="7"/>
  <c r="P458" i="7"/>
  <c r="P464" i="7" s="1"/>
  <c r="E27" i="6" l="1"/>
  <c r="E24" i="6"/>
  <c r="E23" i="6"/>
  <c r="E22" i="6"/>
  <c r="E21" i="6"/>
  <c r="E20" i="6"/>
  <c r="E19" i="6"/>
  <c r="E17" i="6"/>
  <c r="E14" i="6"/>
  <c r="E13" i="6"/>
  <c r="E10" i="6"/>
  <c r="E7" i="6"/>
  <c r="E6" i="6"/>
  <c r="E5" i="6"/>
  <c r="E4" i="6"/>
  <c r="U103" i="5" l="1"/>
  <c r="E12" i="6" l="1"/>
  <c r="E8" i="6" l="1"/>
  <c r="E3" i="6" l="1"/>
  <c r="C5" i="5" l="1"/>
  <c r="E15" i="6" l="1"/>
  <c r="B10" i="5" l="1"/>
  <c r="C22" i="6" l="1"/>
  <c r="C24" i="6"/>
  <c r="C17" i="6"/>
  <c r="C12" i="6"/>
  <c r="D17" i="6"/>
  <c r="E18" i="6" l="1"/>
  <c r="E16" i="6"/>
  <c r="E11" i="6"/>
  <c r="C18" i="6" l="1"/>
  <c r="C19" i="6"/>
  <c r="C11" i="6"/>
  <c r="D12" i="6"/>
  <c r="D5" i="5"/>
  <c r="E9" i="6"/>
  <c r="E26" i="6" s="1"/>
  <c r="C15" i="6" l="1"/>
  <c r="C10" i="6"/>
  <c r="C16" i="6"/>
  <c r="D18" i="6"/>
  <c r="D19" i="6"/>
  <c r="D11" i="6"/>
  <c r="C9" i="6"/>
  <c r="C5" i="6" l="1"/>
  <c r="C7" i="6"/>
  <c r="C6" i="6"/>
  <c r="D10" i="6"/>
  <c r="C4" i="6"/>
  <c r="C3" i="6"/>
  <c r="C13" i="6"/>
  <c r="C23" i="6"/>
  <c r="C20" i="6"/>
  <c r="C14" i="6"/>
  <c r="C8" i="6"/>
  <c r="C21" i="6"/>
  <c r="D16" i="6"/>
  <c r="D15" i="6"/>
  <c r="C6" i="5"/>
  <c r="D9" i="6"/>
  <c r="D5" i="6" l="1"/>
  <c r="D7" i="6"/>
  <c r="D6" i="6"/>
  <c r="D4" i="6"/>
  <c r="D13" i="6"/>
  <c r="D14" i="6"/>
  <c r="C26" i="6"/>
  <c r="D8" i="6"/>
  <c r="C28" i="6" l="1"/>
  <c r="E28" i="6" s="1"/>
  <c r="E29" i="6" s="1"/>
  <c r="E30" i="6" s="1"/>
  <c r="D28" i="8" l="1"/>
  <c r="D28" i="6"/>
  <c r="C27" i="8" l="1"/>
  <c r="C29" i="8" s="1"/>
  <c r="C30" i="8" s="1"/>
  <c r="R14" i="2"/>
  <c r="M15" i="4" l="1"/>
  <c r="C27" i="6"/>
  <c r="C29" i="6" s="1"/>
  <c r="C30" i="6" s="1"/>
  <c r="C7" i="5"/>
  <c r="D7" i="5" s="1"/>
  <c r="I15" i="4"/>
  <c r="F15" i="4"/>
  <c r="P15" i="4"/>
  <c r="D27" i="8" l="1"/>
  <c r="D29" i="8" s="1"/>
  <c r="D30" i="8" s="1"/>
  <c r="D27" i="6"/>
  <c r="D29" i="6" s="1"/>
  <c r="M57" i="2"/>
  <c r="P57" i="2" s="1"/>
  <c r="Q57" i="2"/>
  <c r="M55" i="2"/>
  <c r="P55" i="2" s="1"/>
  <c r="Q55" i="2"/>
  <c r="I313" i="2"/>
  <c r="M313" i="2"/>
  <c r="Q313" i="2"/>
  <c r="P313" i="2" s="1"/>
  <c r="M963" i="2"/>
  <c r="P963" i="2" s="1"/>
  <c r="I963" i="2"/>
  <c r="M962" i="2"/>
  <c r="P962" i="2" s="1"/>
  <c r="I962" i="2"/>
  <c r="M961" i="2"/>
  <c r="P961" i="2" s="1"/>
  <c r="I961" i="2"/>
  <c r="M79" i="2"/>
  <c r="P79" i="2" s="1"/>
  <c r="Q79" i="2"/>
  <c r="P305" i="2"/>
  <c r="M305" i="2" s="1"/>
  <c r="I305" i="2" s="1"/>
  <c r="P304" i="2"/>
  <c r="M304" i="2" s="1"/>
  <c r="I304" i="2" s="1"/>
  <c r="Q366" i="2"/>
  <c r="P366" i="2" s="1"/>
  <c r="M366" i="2" s="1"/>
  <c r="I366" i="2" s="1"/>
  <c r="Q367" i="2"/>
  <c r="P367" i="2" s="1"/>
  <c r="M367" i="2" s="1"/>
  <c r="I367" i="2" s="1"/>
  <c r="Q365" i="2"/>
  <c r="P365" i="2" s="1"/>
  <c r="M365" i="2" s="1"/>
  <c r="I365" i="2" s="1"/>
  <c r="Q368" i="2"/>
  <c r="P368" i="2" s="1"/>
  <c r="M368" i="2" s="1"/>
  <c r="I368" i="2" s="1"/>
  <c r="Q364" i="2"/>
  <c r="P364" i="2" s="1"/>
  <c r="M364" i="2" s="1"/>
  <c r="I364" i="2" s="1"/>
  <c r="Q363" i="2"/>
  <c r="P363" i="2" s="1"/>
  <c r="M363" i="2" s="1"/>
  <c r="I363" i="2" s="1"/>
  <c r="Q361" i="2"/>
  <c r="P361" i="2" s="1"/>
  <c r="M361" i="2" s="1"/>
  <c r="I361" i="2" s="1"/>
  <c r="Q360" i="2"/>
  <c r="P360" i="2" s="1"/>
  <c r="M360" i="2" s="1"/>
  <c r="I360" i="2" s="1"/>
  <c r="Q359" i="2"/>
  <c r="P359" i="2" s="1"/>
  <c r="M359" i="2" s="1"/>
  <c r="I359" i="2" s="1"/>
  <c r="Q362" i="2"/>
  <c r="P362" i="2" s="1"/>
  <c r="M362" i="2" s="1"/>
  <c r="I362" i="2" s="1"/>
  <c r="Q358" i="2"/>
  <c r="P358" i="2" s="1"/>
  <c r="M358" i="2" s="1"/>
  <c r="I358" i="2" s="1"/>
  <c r="Q382" i="2"/>
  <c r="P382" i="2" s="1"/>
  <c r="M382" i="2" s="1"/>
  <c r="I382" i="2" s="1"/>
  <c r="Q381" i="2"/>
  <c r="P381" i="2" s="1"/>
  <c r="M381" i="2" s="1"/>
  <c r="I381" i="2" s="1"/>
  <c r="Q380" i="2"/>
  <c r="P380" i="2" s="1"/>
  <c r="M380" i="2" s="1"/>
  <c r="I380" i="2" s="1"/>
  <c r="M95" i="2"/>
  <c r="P95" i="2" s="1"/>
  <c r="Q95" i="2"/>
  <c r="Q101" i="2"/>
  <c r="P101" i="2" s="1"/>
  <c r="M101" i="2" s="1"/>
  <c r="I101" i="2" s="1"/>
  <c r="M115" i="2"/>
  <c r="P115" i="2" s="1"/>
  <c r="Q115" i="2"/>
  <c r="M113" i="2"/>
  <c r="P113" i="2" s="1"/>
  <c r="Q113" i="2"/>
  <c r="M109" i="2"/>
  <c r="P109" i="2" s="1"/>
  <c r="Q109" i="2"/>
  <c r="M108" i="2"/>
  <c r="P108" i="2" s="1"/>
  <c r="Q108" i="2"/>
  <c r="M114" i="2"/>
  <c r="P114" i="2" s="1"/>
  <c r="Q114" i="2"/>
  <c r="Q145" i="2"/>
  <c r="P145" i="2"/>
  <c r="M960" i="2"/>
  <c r="P960" i="2" s="1"/>
  <c r="I960" i="2"/>
  <c r="J965" i="2"/>
  <c r="M959" i="2"/>
  <c r="P959" i="2" s="1"/>
  <c r="I959" i="2"/>
  <c r="M194" i="2"/>
  <c r="P194" i="2" s="1"/>
  <c r="Q194" i="2"/>
  <c r="M204" i="2"/>
  <c r="P204" i="2" s="1"/>
  <c r="Q204" i="2"/>
  <c r="Q231" i="2"/>
  <c r="P231" i="2" s="1"/>
  <c r="I230" i="2"/>
  <c r="M230" i="2"/>
  <c r="Q230" i="2"/>
  <c r="P230" i="2" s="1"/>
  <c r="Q236" i="2"/>
  <c r="M236" i="2"/>
  <c r="P236" i="2" s="1"/>
  <c r="Q325" i="2"/>
  <c r="M325" i="2"/>
  <c r="P325" i="2" s="1"/>
  <c r="Q428" i="2"/>
  <c r="P428" i="2" s="1"/>
  <c r="M428" i="2" s="1"/>
  <c r="I428" i="2" s="1"/>
  <c r="M203" i="2"/>
  <c r="P203" i="2" s="1"/>
  <c r="Q203" i="2"/>
  <c r="Q444" i="2"/>
  <c r="P444" i="2" s="1"/>
  <c r="M444" i="2" s="1"/>
  <c r="I444" i="2" s="1"/>
  <c r="M87" i="2"/>
  <c r="P87" i="2" s="1"/>
  <c r="Q87" i="2"/>
  <c r="I46" i="2"/>
  <c r="M46" i="2"/>
  <c r="Q46" i="2"/>
  <c r="P46" i="2" s="1"/>
  <c r="Q301" i="2"/>
  <c r="P301" i="2" s="1"/>
  <c r="M301" i="2" s="1"/>
  <c r="I301" i="2" s="1"/>
  <c r="M190" i="2"/>
  <c r="P190" i="2" s="1"/>
  <c r="Q190" i="2"/>
  <c r="Q395" i="2"/>
  <c r="P395" i="2" s="1"/>
  <c r="M395" i="2" s="1"/>
  <c r="I395" i="2" s="1"/>
  <c r="I95" i="2" l="1"/>
  <c r="I109" i="2"/>
  <c r="I114" i="2"/>
  <c r="I79" i="2"/>
  <c r="I115" i="2"/>
  <c r="I57" i="2"/>
  <c r="I108" i="2"/>
  <c r="I113" i="2"/>
  <c r="I55" i="2"/>
  <c r="I204" i="2"/>
  <c r="I194" i="2"/>
  <c r="I203" i="2"/>
  <c r="Q394" i="2"/>
  <c r="P394" i="2" s="1"/>
  <c r="M394" i="2" s="1"/>
  <c r="I394" i="2" s="1"/>
  <c r="Q393" i="2"/>
  <c r="P393" i="2" s="1"/>
  <c r="M393" i="2" s="1"/>
  <c r="I393" i="2" s="1"/>
  <c r="M118" i="2"/>
  <c r="P118" i="2" s="1"/>
  <c r="Q118" i="2"/>
  <c r="Q126" i="2" l="1"/>
  <c r="P126" i="2"/>
  <c r="Q391" i="2"/>
  <c r="P391" i="2" s="1"/>
  <c r="M391" i="2" s="1"/>
  <c r="I391" i="2" s="1"/>
  <c r="Q431" i="2"/>
  <c r="P431" i="2" s="1"/>
  <c r="M431" i="2" s="1"/>
  <c r="I431" i="2" s="1"/>
  <c r="M205" i="2"/>
  <c r="P205" i="2" s="1"/>
  <c r="Q205" i="2"/>
  <c r="Q400" i="2"/>
  <c r="P400" i="2" s="1"/>
  <c r="M400" i="2" s="1"/>
  <c r="I400" i="2" s="1"/>
  <c r="M160" i="2"/>
  <c r="P160" i="2" s="1"/>
  <c r="Q160" i="2"/>
  <c r="P291" i="2"/>
  <c r="Q291" i="2"/>
  <c r="M219" i="2"/>
  <c r="P219" i="2" s="1"/>
  <c r="Q219" i="2"/>
  <c r="M91" i="2"/>
  <c r="P91" i="2" s="1"/>
  <c r="Q91" i="2"/>
  <c r="M90" i="2"/>
  <c r="P90" i="2" s="1"/>
  <c r="Q90" i="2"/>
  <c r="M89" i="2"/>
  <c r="P89" i="2" s="1"/>
  <c r="Q89" i="2"/>
  <c r="Q136" i="2"/>
  <c r="P136" i="2"/>
  <c r="Q131" i="2"/>
  <c r="P131" i="2"/>
  <c r="Q135" i="2"/>
  <c r="P135" i="2"/>
  <c r="Q134" i="2"/>
  <c r="P134" i="2"/>
  <c r="M317" i="2"/>
  <c r="P317" i="2" s="1"/>
  <c r="Q132" i="2"/>
  <c r="P132" i="2"/>
  <c r="Q130" i="2"/>
  <c r="P130" i="2"/>
  <c r="Q129" i="2"/>
  <c r="P129" i="2"/>
  <c r="Q221" i="2"/>
  <c r="M221" i="2"/>
  <c r="P221" i="2" s="1"/>
  <c r="Q121" i="2"/>
  <c r="F985" i="2" l="1"/>
  <c r="Q977" i="2"/>
  <c r="P977" i="2"/>
  <c r="Q976" i="2"/>
  <c r="P976" i="2"/>
  <c r="P38" i="2" l="1"/>
  <c r="P39" i="2"/>
  <c r="P40" i="2"/>
  <c r="P41" i="2"/>
  <c r="P42" i="2"/>
  <c r="P43" i="2"/>
  <c r="P44" i="2"/>
  <c r="P45" i="2"/>
  <c r="P47" i="2"/>
  <c r="P49" i="2"/>
  <c r="P50" i="2"/>
  <c r="P68" i="2"/>
  <c r="P119" i="2"/>
  <c r="P120" i="2"/>
  <c r="P122" i="2"/>
  <c r="P124" i="2"/>
  <c r="P125" i="2"/>
  <c r="P127" i="2"/>
  <c r="P128" i="2"/>
  <c r="P133" i="2"/>
  <c r="P137" i="2"/>
  <c r="P138" i="2"/>
  <c r="P139" i="2"/>
  <c r="P140" i="2"/>
  <c r="P141" i="2"/>
  <c r="P142" i="2"/>
  <c r="P143" i="2"/>
  <c r="P144" i="2"/>
  <c r="P146" i="2"/>
  <c r="P147" i="2"/>
  <c r="P148" i="2"/>
  <c r="P183" i="2"/>
  <c r="P209" i="2"/>
  <c r="P210" i="2"/>
  <c r="P228" i="2"/>
  <c r="P229" i="2"/>
  <c r="P232" i="2"/>
  <c r="P233" i="2"/>
  <c r="P234" i="2"/>
  <c r="P245" i="2"/>
  <c r="P267" i="2"/>
  <c r="P269" i="2"/>
  <c r="P276" i="2"/>
  <c r="P277" i="2"/>
  <c r="P278" i="2"/>
  <c r="P279" i="2"/>
  <c r="P280" i="2"/>
  <c r="P287" i="2"/>
  <c r="P288" i="2"/>
  <c r="P289" i="2"/>
  <c r="P290" i="2"/>
  <c r="P292" i="2"/>
  <c r="P293" i="2"/>
  <c r="P294" i="2"/>
  <c r="P296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699" i="2"/>
  <c r="P737" i="2"/>
  <c r="P738" i="2"/>
  <c r="P786" i="2"/>
  <c r="P787" i="2"/>
  <c r="P920" i="2"/>
  <c r="P921" i="2"/>
  <c r="P922" i="2"/>
  <c r="P923" i="2"/>
  <c r="P924" i="2"/>
  <c r="P925" i="2"/>
  <c r="P964" i="2"/>
  <c r="P16" i="2"/>
  <c r="P15" i="2"/>
  <c r="P14" i="2"/>
  <c r="O965" i="2"/>
  <c r="M958" i="2" l="1"/>
  <c r="P958" i="2" s="1"/>
  <c r="M957" i="2"/>
  <c r="P957" i="2" s="1"/>
  <c r="M956" i="2"/>
  <c r="P956" i="2" s="1"/>
  <c r="M955" i="2"/>
  <c r="P955" i="2" s="1"/>
  <c r="M954" i="2"/>
  <c r="P954" i="2" s="1"/>
  <c r="M953" i="2"/>
  <c r="P953" i="2" s="1"/>
  <c r="M952" i="2"/>
  <c r="P952" i="2" s="1"/>
  <c r="M951" i="2"/>
  <c r="P951" i="2" s="1"/>
  <c r="M950" i="2"/>
  <c r="P950" i="2" s="1"/>
  <c r="M949" i="2"/>
  <c r="P949" i="2" s="1"/>
  <c r="M948" i="2"/>
  <c r="P948" i="2" s="1"/>
  <c r="M947" i="2"/>
  <c r="P947" i="2" s="1"/>
  <c r="M946" i="2"/>
  <c r="P946" i="2" s="1"/>
  <c r="M945" i="2"/>
  <c r="P945" i="2" s="1"/>
  <c r="M944" i="2"/>
  <c r="P944" i="2" s="1"/>
  <c r="M943" i="2"/>
  <c r="P943" i="2" s="1"/>
  <c r="M942" i="2"/>
  <c r="P942" i="2" s="1"/>
  <c r="M941" i="2"/>
  <c r="P941" i="2" s="1"/>
  <c r="M940" i="2"/>
  <c r="P940" i="2" s="1"/>
  <c r="M939" i="2"/>
  <c r="P939" i="2" s="1"/>
  <c r="M938" i="2"/>
  <c r="P938" i="2" s="1"/>
  <c r="M937" i="2"/>
  <c r="P937" i="2" s="1"/>
  <c r="M936" i="2"/>
  <c r="P936" i="2" s="1"/>
  <c r="M935" i="2"/>
  <c r="P935" i="2" s="1"/>
  <c r="M934" i="2"/>
  <c r="P934" i="2" s="1"/>
  <c r="M933" i="2"/>
  <c r="P933" i="2" s="1"/>
  <c r="M932" i="2"/>
  <c r="P932" i="2" s="1"/>
  <c r="M931" i="2"/>
  <c r="P931" i="2" s="1"/>
  <c r="M930" i="2"/>
  <c r="P930" i="2" s="1"/>
  <c r="M929" i="2"/>
  <c r="P929" i="2" s="1"/>
  <c r="M928" i="2"/>
  <c r="P928" i="2" s="1"/>
  <c r="M927" i="2"/>
  <c r="P927" i="2" s="1"/>
  <c r="M926" i="2"/>
  <c r="P926" i="2" s="1"/>
  <c r="M919" i="2"/>
  <c r="P919" i="2" s="1"/>
  <c r="M918" i="2"/>
  <c r="P918" i="2" s="1"/>
  <c r="M917" i="2"/>
  <c r="P917" i="2" s="1"/>
  <c r="M916" i="2"/>
  <c r="P916" i="2" s="1"/>
  <c r="M915" i="2"/>
  <c r="P915" i="2" s="1"/>
  <c r="M914" i="2"/>
  <c r="P914" i="2" s="1"/>
  <c r="M913" i="2"/>
  <c r="P913" i="2" s="1"/>
  <c r="M912" i="2"/>
  <c r="P912" i="2" s="1"/>
  <c r="M911" i="2"/>
  <c r="P911" i="2" s="1"/>
  <c r="M910" i="2"/>
  <c r="P910" i="2" s="1"/>
  <c r="M909" i="2"/>
  <c r="P909" i="2" s="1"/>
  <c r="M908" i="2"/>
  <c r="P908" i="2" s="1"/>
  <c r="M907" i="2"/>
  <c r="P907" i="2" s="1"/>
  <c r="M906" i="2"/>
  <c r="P906" i="2" s="1"/>
  <c r="M905" i="2"/>
  <c r="P905" i="2" s="1"/>
  <c r="M904" i="2"/>
  <c r="P904" i="2" s="1"/>
  <c r="M903" i="2"/>
  <c r="P903" i="2" s="1"/>
  <c r="M902" i="2"/>
  <c r="P902" i="2" s="1"/>
  <c r="M901" i="2"/>
  <c r="P901" i="2" s="1"/>
  <c r="M900" i="2"/>
  <c r="P900" i="2" s="1"/>
  <c r="M899" i="2"/>
  <c r="P899" i="2" s="1"/>
  <c r="M898" i="2"/>
  <c r="P898" i="2" s="1"/>
  <c r="M897" i="2"/>
  <c r="P897" i="2" s="1"/>
  <c r="M896" i="2"/>
  <c r="P896" i="2" s="1"/>
  <c r="M895" i="2"/>
  <c r="P895" i="2" s="1"/>
  <c r="M894" i="2"/>
  <c r="P894" i="2" s="1"/>
  <c r="M893" i="2"/>
  <c r="P893" i="2" s="1"/>
  <c r="M892" i="2"/>
  <c r="P892" i="2" s="1"/>
  <c r="M891" i="2"/>
  <c r="P891" i="2" s="1"/>
  <c r="M890" i="2"/>
  <c r="P890" i="2" s="1"/>
  <c r="M889" i="2"/>
  <c r="P889" i="2" s="1"/>
  <c r="M888" i="2"/>
  <c r="P888" i="2" s="1"/>
  <c r="M887" i="2"/>
  <c r="P887" i="2" s="1"/>
  <c r="M886" i="2"/>
  <c r="P886" i="2" s="1"/>
  <c r="M885" i="2"/>
  <c r="P885" i="2" s="1"/>
  <c r="M884" i="2"/>
  <c r="P884" i="2" s="1"/>
  <c r="M883" i="2"/>
  <c r="P883" i="2" s="1"/>
  <c r="M882" i="2"/>
  <c r="P882" i="2" s="1"/>
  <c r="M881" i="2"/>
  <c r="P881" i="2" s="1"/>
  <c r="M880" i="2"/>
  <c r="P880" i="2" s="1"/>
  <c r="M879" i="2"/>
  <c r="P879" i="2" s="1"/>
  <c r="M878" i="2"/>
  <c r="P878" i="2" s="1"/>
  <c r="M877" i="2"/>
  <c r="P877" i="2" s="1"/>
  <c r="M876" i="2"/>
  <c r="P876" i="2" s="1"/>
  <c r="M875" i="2"/>
  <c r="P875" i="2" s="1"/>
  <c r="M874" i="2"/>
  <c r="P874" i="2" s="1"/>
  <c r="M873" i="2"/>
  <c r="P873" i="2" s="1"/>
  <c r="M872" i="2"/>
  <c r="P872" i="2" s="1"/>
  <c r="M871" i="2"/>
  <c r="P871" i="2" s="1"/>
  <c r="M870" i="2"/>
  <c r="P870" i="2" s="1"/>
  <c r="M869" i="2"/>
  <c r="P869" i="2" s="1"/>
  <c r="M868" i="2"/>
  <c r="P868" i="2" s="1"/>
  <c r="M867" i="2"/>
  <c r="P867" i="2" s="1"/>
  <c r="M866" i="2"/>
  <c r="P866" i="2" s="1"/>
  <c r="M865" i="2"/>
  <c r="P865" i="2" s="1"/>
  <c r="M864" i="2"/>
  <c r="P864" i="2" s="1"/>
  <c r="M863" i="2"/>
  <c r="P863" i="2" s="1"/>
  <c r="M862" i="2"/>
  <c r="P862" i="2" s="1"/>
  <c r="M861" i="2"/>
  <c r="P861" i="2" s="1"/>
  <c r="M860" i="2"/>
  <c r="P860" i="2" s="1"/>
  <c r="M859" i="2"/>
  <c r="P859" i="2" s="1"/>
  <c r="M858" i="2"/>
  <c r="P858" i="2" s="1"/>
  <c r="M857" i="2"/>
  <c r="P857" i="2" s="1"/>
  <c r="M856" i="2"/>
  <c r="P856" i="2" s="1"/>
  <c r="M855" i="2"/>
  <c r="P855" i="2" s="1"/>
  <c r="M854" i="2"/>
  <c r="P854" i="2" s="1"/>
  <c r="M853" i="2"/>
  <c r="P853" i="2" s="1"/>
  <c r="M852" i="2"/>
  <c r="P852" i="2" s="1"/>
  <c r="M851" i="2"/>
  <c r="P851" i="2" s="1"/>
  <c r="M850" i="2"/>
  <c r="P850" i="2" s="1"/>
  <c r="M849" i="2"/>
  <c r="P849" i="2" s="1"/>
  <c r="M848" i="2"/>
  <c r="P848" i="2" s="1"/>
  <c r="M847" i="2"/>
  <c r="P847" i="2" s="1"/>
  <c r="M846" i="2"/>
  <c r="P846" i="2" s="1"/>
  <c r="M845" i="2"/>
  <c r="P845" i="2" s="1"/>
  <c r="M844" i="2"/>
  <c r="P844" i="2" s="1"/>
  <c r="M843" i="2"/>
  <c r="P843" i="2" s="1"/>
  <c r="M842" i="2"/>
  <c r="P842" i="2" s="1"/>
  <c r="M841" i="2"/>
  <c r="P841" i="2" s="1"/>
  <c r="M840" i="2"/>
  <c r="P840" i="2" s="1"/>
  <c r="M839" i="2"/>
  <c r="P839" i="2" s="1"/>
  <c r="M838" i="2"/>
  <c r="P838" i="2" s="1"/>
  <c r="M837" i="2"/>
  <c r="P837" i="2" s="1"/>
  <c r="M836" i="2"/>
  <c r="P836" i="2" s="1"/>
  <c r="M835" i="2"/>
  <c r="P835" i="2" s="1"/>
  <c r="M834" i="2"/>
  <c r="P834" i="2" s="1"/>
  <c r="M833" i="2"/>
  <c r="P833" i="2" s="1"/>
  <c r="M832" i="2"/>
  <c r="P832" i="2" s="1"/>
  <c r="M831" i="2"/>
  <c r="P831" i="2" s="1"/>
  <c r="M830" i="2"/>
  <c r="P830" i="2" s="1"/>
  <c r="M829" i="2"/>
  <c r="P829" i="2" s="1"/>
  <c r="M828" i="2"/>
  <c r="P828" i="2" s="1"/>
  <c r="M827" i="2"/>
  <c r="P827" i="2" s="1"/>
  <c r="M826" i="2"/>
  <c r="P826" i="2" s="1"/>
  <c r="M825" i="2"/>
  <c r="P825" i="2" s="1"/>
  <c r="M824" i="2"/>
  <c r="P824" i="2" s="1"/>
  <c r="M823" i="2"/>
  <c r="P823" i="2" s="1"/>
  <c r="M822" i="2"/>
  <c r="P822" i="2" s="1"/>
  <c r="M821" i="2"/>
  <c r="P821" i="2" s="1"/>
  <c r="M820" i="2"/>
  <c r="P820" i="2" s="1"/>
  <c r="M819" i="2"/>
  <c r="P819" i="2" s="1"/>
  <c r="M818" i="2"/>
  <c r="P818" i="2" s="1"/>
  <c r="M817" i="2"/>
  <c r="P817" i="2" s="1"/>
  <c r="M816" i="2"/>
  <c r="P816" i="2" s="1"/>
  <c r="M815" i="2"/>
  <c r="P815" i="2" s="1"/>
  <c r="M814" i="2"/>
  <c r="P814" i="2" s="1"/>
  <c r="M813" i="2"/>
  <c r="P813" i="2" s="1"/>
  <c r="M812" i="2"/>
  <c r="P812" i="2" s="1"/>
  <c r="M811" i="2"/>
  <c r="P811" i="2" s="1"/>
  <c r="M810" i="2"/>
  <c r="P810" i="2" s="1"/>
  <c r="M809" i="2"/>
  <c r="P809" i="2" s="1"/>
  <c r="M808" i="2"/>
  <c r="P808" i="2" s="1"/>
  <c r="M807" i="2"/>
  <c r="P807" i="2" s="1"/>
  <c r="M806" i="2"/>
  <c r="P806" i="2" s="1"/>
  <c r="M805" i="2"/>
  <c r="P805" i="2" s="1"/>
  <c r="M804" i="2"/>
  <c r="P804" i="2" s="1"/>
  <c r="M803" i="2"/>
  <c r="P803" i="2" s="1"/>
  <c r="M802" i="2"/>
  <c r="P802" i="2" s="1"/>
  <c r="M801" i="2"/>
  <c r="P801" i="2" s="1"/>
  <c r="M800" i="2"/>
  <c r="P800" i="2" s="1"/>
  <c r="M799" i="2"/>
  <c r="P799" i="2" s="1"/>
  <c r="M798" i="2"/>
  <c r="P798" i="2" s="1"/>
  <c r="M797" i="2"/>
  <c r="P797" i="2" s="1"/>
  <c r="M796" i="2"/>
  <c r="P796" i="2" s="1"/>
  <c r="M795" i="2"/>
  <c r="P795" i="2" s="1"/>
  <c r="M794" i="2"/>
  <c r="P794" i="2" s="1"/>
  <c r="M793" i="2"/>
  <c r="P793" i="2" s="1"/>
  <c r="M792" i="2"/>
  <c r="P792" i="2" s="1"/>
  <c r="M791" i="2"/>
  <c r="P791" i="2" s="1"/>
  <c r="M790" i="2"/>
  <c r="P790" i="2" s="1"/>
  <c r="M789" i="2"/>
  <c r="P789" i="2" s="1"/>
  <c r="M788" i="2"/>
  <c r="P788" i="2" s="1"/>
  <c r="M785" i="2"/>
  <c r="P785" i="2" s="1"/>
  <c r="M784" i="2"/>
  <c r="P784" i="2" s="1"/>
  <c r="M783" i="2"/>
  <c r="P783" i="2" s="1"/>
  <c r="M782" i="2"/>
  <c r="P782" i="2" s="1"/>
  <c r="M781" i="2"/>
  <c r="P781" i="2" s="1"/>
  <c r="M780" i="2"/>
  <c r="P780" i="2" s="1"/>
  <c r="M779" i="2"/>
  <c r="P779" i="2" s="1"/>
  <c r="M778" i="2"/>
  <c r="P778" i="2" s="1"/>
  <c r="M777" i="2"/>
  <c r="P777" i="2" s="1"/>
  <c r="M776" i="2"/>
  <c r="P776" i="2" s="1"/>
  <c r="M775" i="2"/>
  <c r="P775" i="2" s="1"/>
  <c r="M774" i="2"/>
  <c r="P774" i="2" s="1"/>
  <c r="M773" i="2"/>
  <c r="P773" i="2" s="1"/>
  <c r="M772" i="2"/>
  <c r="P772" i="2" s="1"/>
  <c r="M771" i="2"/>
  <c r="P771" i="2" s="1"/>
  <c r="M770" i="2"/>
  <c r="P770" i="2" s="1"/>
  <c r="M769" i="2"/>
  <c r="P769" i="2" s="1"/>
  <c r="M768" i="2"/>
  <c r="P768" i="2" s="1"/>
  <c r="M767" i="2"/>
  <c r="P767" i="2" s="1"/>
  <c r="M766" i="2"/>
  <c r="P766" i="2" s="1"/>
  <c r="M765" i="2"/>
  <c r="P765" i="2" s="1"/>
  <c r="M764" i="2"/>
  <c r="P764" i="2" s="1"/>
  <c r="M763" i="2"/>
  <c r="P763" i="2" s="1"/>
  <c r="M762" i="2"/>
  <c r="P762" i="2" s="1"/>
  <c r="M761" i="2"/>
  <c r="P761" i="2" s="1"/>
  <c r="M760" i="2"/>
  <c r="P760" i="2" s="1"/>
  <c r="M759" i="2"/>
  <c r="P759" i="2" s="1"/>
  <c r="M758" i="2"/>
  <c r="P758" i="2" s="1"/>
  <c r="M757" i="2"/>
  <c r="P757" i="2" s="1"/>
  <c r="M756" i="2"/>
  <c r="P756" i="2" s="1"/>
  <c r="M755" i="2"/>
  <c r="P755" i="2" s="1"/>
  <c r="M754" i="2"/>
  <c r="P754" i="2" s="1"/>
  <c r="M753" i="2"/>
  <c r="P753" i="2" s="1"/>
  <c r="M752" i="2"/>
  <c r="P752" i="2" s="1"/>
  <c r="M751" i="2"/>
  <c r="P751" i="2" s="1"/>
  <c r="M750" i="2"/>
  <c r="P750" i="2" s="1"/>
  <c r="M749" i="2"/>
  <c r="P749" i="2" s="1"/>
  <c r="M748" i="2"/>
  <c r="P748" i="2" s="1"/>
  <c r="M747" i="2"/>
  <c r="P747" i="2" s="1"/>
  <c r="M746" i="2"/>
  <c r="P746" i="2" s="1"/>
  <c r="M745" i="2"/>
  <c r="P745" i="2" s="1"/>
  <c r="M744" i="2"/>
  <c r="P744" i="2" s="1"/>
  <c r="M743" i="2"/>
  <c r="P743" i="2" s="1"/>
  <c r="M742" i="2"/>
  <c r="P742" i="2" s="1"/>
  <c r="M741" i="2"/>
  <c r="P741" i="2" s="1"/>
  <c r="M740" i="2"/>
  <c r="P740" i="2" s="1"/>
  <c r="M739" i="2"/>
  <c r="P739" i="2" s="1"/>
  <c r="M736" i="2"/>
  <c r="P736" i="2" s="1"/>
  <c r="M735" i="2"/>
  <c r="P735" i="2" s="1"/>
  <c r="M734" i="2"/>
  <c r="P734" i="2" s="1"/>
  <c r="M733" i="2"/>
  <c r="P733" i="2" s="1"/>
  <c r="M732" i="2"/>
  <c r="P732" i="2" s="1"/>
  <c r="M731" i="2"/>
  <c r="P731" i="2" s="1"/>
  <c r="M730" i="2"/>
  <c r="P730" i="2" s="1"/>
  <c r="M729" i="2"/>
  <c r="P729" i="2" s="1"/>
  <c r="M728" i="2"/>
  <c r="P728" i="2" s="1"/>
  <c r="M727" i="2"/>
  <c r="P727" i="2" s="1"/>
  <c r="M726" i="2"/>
  <c r="P726" i="2" s="1"/>
  <c r="M725" i="2"/>
  <c r="P725" i="2" s="1"/>
  <c r="M724" i="2"/>
  <c r="P724" i="2" s="1"/>
  <c r="M723" i="2"/>
  <c r="P723" i="2" s="1"/>
  <c r="M722" i="2"/>
  <c r="P722" i="2" s="1"/>
  <c r="M721" i="2"/>
  <c r="P721" i="2" s="1"/>
  <c r="M720" i="2"/>
  <c r="P720" i="2" s="1"/>
  <c r="M719" i="2"/>
  <c r="P719" i="2" s="1"/>
  <c r="M718" i="2"/>
  <c r="P718" i="2" s="1"/>
  <c r="M717" i="2"/>
  <c r="P717" i="2" s="1"/>
  <c r="M716" i="2"/>
  <c r="P716" i="2" s="1"/>
  <c r="M715" i="2"/>
  <c r="P715" i="2" s="1"/>
  <c r="M714" i="2"/>
  <c r="P714" i="2" s="1"/>
  <c r="M713" i="2"/>
  <c r="P713" i="2" s="1"/>
  <c r="M712" i="2"/>
  <c r="P712" i="2" s="1"/>
  <c r="M711" i="2"/>
  <c r="P711" i="2" s="1"/>
  <c r="M710" i="2"/>
  <c r="P710" i="2" s="1"/>
  <c r="M709" i="2"/>
  <c r="P709" i="2" s="1"/>
  <c r="M708" i="2"/>
  <c r="P708" i="2" s="1"/>
  <c r="M707" i="2"/>
  <c r="P707" i="2" s="1"/>
  <c r="M706" i="2"/>
  <c r="P706" i="2" s="1"/>
  <c r="M705" i="2"/>
  <c r="P705" i="2" s="1"/>
  <c r="M704" i="2"/>
  <c r="P704" i="2" s="1"/>
  <c r="M703" i="2"/>
  <c r="P703" i="2" s="1"/>
  <c r="M702" i="2"/>
  <c r="P702" i="2" s="1"/>
  <c r="M701" i="2"/>
  <c r="P701" i="2" s="1"/>
  <c r="M700" i="2"/>
  <c r="P700" i="2" s="1"/>
  <c r="M698" i="2"/>
  <c r="P698" i="2" s="1"/>
  <c r="M697" i="2"/>
  <c r="P697" i="2" s="1"/>
  <c r="M696" i="2"/>
  <c r="P696" i="2" s="1"/>
  <c r="M695" i="2"/>
  <c r="P695" i="2" s="1"/>
  <c r="M694" i="2"/>
  <c r="P694" i="2" s="1"/>
  <c r="M693" i="2"/>
  <c r="P693" i="2" s="1"/>
  <c r="M692" i="2"/>
  <c r="P692" i="2" s="1"/>
  <c r="M691" i="2"/>
  <c r="P691" i="2" s="1"/>
  <c r="M690" i="2"/>
  <c r="P690" i="2" s="1"/>
  <c r="M689" i="2"/>
  <c r="P689" i="2" s="1"/>
  <c r="M688" i="2"/>
  <c r="P688" i="2" s="1"/>
  <c r="M687" i="2"/>
  <c r="P687" i="2" s="1"/>
  <c r="M686" i="2"/>
  <c r="P686" i="2" s="1"/>
  <c r="M685" i="2"/>
  <c r="P685" i="2" s="1"/>
  <c r="M684" i="2"/>
  <c r="P684" i="2" s="1"/>
  <c r="M683" i="2"/>
  <c r="P683" i="2" s="1"/>
  <c r="M682" i="2"/>
  <c r="P682" i="2" s="1"/>
  <c r="M681" i="2"/>
  <c r="P681" i="2" s="1"/>
  <c r="M680" i="2"/>
  <c r="P680" i="2" s="1"/>
  <c r="M679" i="2"/>
  <c r="P679" i="2" s="1"/>
  <c r="M678" i="2"/>
  <c r="P678" i="2" s="1"/>
  <c r="M677" i="2"/>
  <c r="P677" i="2" s="1"/>
  <c r="M676" i="2"/>
  <c r="P676" i="2" s="1"/>
  <c r="M675" i="2"/>
  <c r="P675" i="2" s="1"/>
  <c r="M674" i="2"/>
  <c r="P674" i="2" s="1"/>
  <c r="M673" i="2"/>
  <c r="P673" i="2" s="1"/>
  <c r="M672" i="2"/>
  <c r="P672" i="2" s="1"/>
  <c r="M671" i="2"/>
  <c r="P671" i="2" s="1"/>
  <c r="M670" i="2"/>
  <c r="P670" i="2" s="1"/>
  <c r="M669" i="2"/>
  <c r="P669" i="2" s="1"/>
  <c r="M668" i="2"/>
  <c r="P668" i="2" s="1"/>
  <c r="M667" i="2"/>
  <c r="P667" i="2" s="1"/>
  <c r="M666" i="2"/>
  <c r="P666" i="2" s="1"/>
  <c r="M665" i="2"/>
  <c r="P665" i="2" s="1"/>
  <c r="M664" i="2"/>
  <c r="P664" i="2" s="1"/>
  <c r="M663" i="2"/>
  <c r="P663" i="2" s="1"/>
  <c r="M662" i="2"/>
  <c r="P662" i="2" s="1"/>
  <c r="M661" i="2"/>
  <c r="P661" i="2" s="1"/>
  <c r="M660" i="2"/>
  <c r="P660" i="2" s="1"/>
  <c r="M659" i="2"/>
  <c r="P659" i="2" s="1"/>
  <c r="M658" i="2"/>
  <c r="P658" i="2" s="1"/>
  <c r="M657" i="2"/>
  <c r="P657" i="2" s="1"/>
  <c r="M656" i="2"/>
  <c r="P656" i="2" s="1"/>
  <c r="M655" i="2"/>
  <c r="P655" i="2" s="1"/>
  <c r="M654" i="2"/>
  <c r="P654" i="2" s="1"/>
  <c r="M653" i="2"/>
  <c r="P653" i="2" s="1"/>
  <c r="M652" i="2"/>
  <c r="P652" i="2" s="1"/>
  <c r="M651" i="2"/>
  <c r="P651" i="2" s="1"/>
  <c r="M650" i="2"/>
  <c r="P650" i="2" s="1"/>
  <c r="M649" i="2"/>
  <c r="P649" i="2" s="1"/>
  <c r="M648" i="2"/>
  <c r="P648" i="2" s="1"/>
  <c r="M647" i="2"/>
  <c r="P647" i="2" s="1"/>
  <c r="M646" i="2"/>
  <c r="P646" i="2" s="1"/>
  <c r="M645" i="2"/>
  <c r="P645" i="2" s="1"/>
  <c r="M644" i="2"/>
  <c r="P644" i="2" s="1"/>
  <c r="M643" i="2"/>
  <c r="P643" i="2" s="1"/>
  <c r="M642" i="2"/>
  <c r="P642" i="2" s="1"/>
  <c r="M641" i="2"/>
  <c r="P641" i="2" s="1"/>
  <c r="M640" i="2"/>
  <c r="P640" i="2" s="1"/>
  <c r="M639" i="2"/>
  <c r="P639" i="2" s="1"/>
  <c r="M638" i="2"/>
  <c r="P638" i="2" s="1"/>
  <c r="M637" i="2"/>
  <c r="P637" i="2" s="1"/>
  <c r="M636" i="2"/>
  <c r="P636" i="2" s="1"/>
  <c r="M635" i="2"/>
  <c r="P635" i="2" s="1"/>
  <c r="M634" i="2"/>
  <c r="P634" i="2" s="1"/>
  <c r="M633" i="2"/>
  <c r="P633" i="2" s="1"/>
  <c r="M632" i="2"/>
  <c r="P632" i="2" s="1"/>
  <c r="M631" i="2"/>
  <c r="P631" i="2" s="1"/>
  <c r="M630" i="2"/>
  <c r="P630" i="2" s="1"/>
  <c r="M629" i="2"/>
  <c r="P629" i="2" s="1"/>
  <c r="M628" i="2"/>
  <c r="P628" i="2" s="1"/>
  <c r="M627" i="2"/>
  <c r="P627" i="2" s="1"/>
  <c r="M626" i="2"/>
  <c r="P626" i="2" s="1"/>
  <c r="M625" i="2"/>
  <c r="P625" i="2" s="1"/>
  <c r="M624" i="2"/>
  <c r="P624" i="2" s="1"/>
  <c r="M623" i="2"/>
  <c r="P623" i="2" s="1"/>
  <c r="M622" i="2"/>
  <c r="P622" i="2" s="1"/>
  <c r="M621" i="2"/>
  <c r="P621" i="2" s="1"/>
  <c r="M620" i="2"/>
  <c r="P620" i="2" s="1"/>
  <c r="M619" i="2"/>
  <c r="P619" i="2" s="1"/>
  <c r="M618" i="2"/>
  <c r="P618" i="2" s="1"/>
  <c r="M617" i="2"/>
  <c r="P617" i="2" s="1"/>
  <c r="M616" i="2"/>
  <c r="P616" i="2" s="1"/>
  <c r="M615" i="2"/>
  <c r="P615" i="2" s="1"/>
  <c r="M614" i="2"/>
  <c r="P614" i="2" s="1"/>
  <c r="M613" i="2"/>
  <c r="P613" i="2" s="1"/>
  <c r="M612" i="2"/>
  <c r="P612" i="2" s="1"/>
  <c r="M611" i="2"/>
  <c r="P611" i="2" s="1"/>
  <c r="M610" i="2"/>
  <c r="P610" i="2" s="1"/>
  <c r="M609" i="2"/>
  <c r="P609" i="2" s="1"/>
  <c r="M608" i="2"/>
  <c r="P608" i="2" s="1"/>
  <c r="M607" i="2"/>
  <c r="P607" i="2" s="1"/>
  <c r="M606" i="2"/>
  <c r="P606" i="2" s="1"/>
  <c r="M605" i="2"/>
  <c r="P605" i="2" s="1"/>
  <c r="M604" i="2"/>
  <c r="P604" i="2" s="1"/>
  <c r="M603" i="2"/>
  <c r="P603" i="2" s="1"/>
  <c r="M602" i="2"/>
  <c r="P602" i="2" s="1"/>
  <c r="M601" i="2"/>
  <c r="P601" i="2" s="1"/>
  <c r="M600" i="2"/>
  <c r="P600" i="2" s="1"/>
  <c r="M599" i="2"/>
  <c r="P599" i="2" s="1"/>
  <c r="M598" i="2"/>
  <c r="P598" i="2" s="1"/>
  <c r="M597" i="2"/>
  <c r="P597" i="2" s="1"/>
  <c r="M596" i="2"/>
  <c r="P596" i="2" s="1"/>
  <c r="M595" i="2"/>
  <c r="P595" i="2" s="1"/>
  <c r="M594" i="2"/>
  <c r="P594" i="2" s="1"/>
  <c r="M593" i="2"/>
  <c r="P593" i="2" s="1"/>
  <c r="M592" i="2"/>
  <c r="P592" i="2" s="1"/>
  <c r="M591" i="2"/>
  <c r="P591" i="2" s="1"/>
  <c r="M590" i="2"/>
  <c r="P590" i="2" s="1"/>
  <c r="M589" i="2"/>
  <c r="P589" i="2" s="1"/>
  <c r="M588" i="2"/>
  <c r="P588" i="2" s="1"/>
  <c r="M587" i="2"/>
  <c r="P587" i="2" s="1"/>
  <c r="M586" i="2"/>
  <c r="P586" i="2" s="1"/>
  <c r="M585" i="2"/>
  <c r="P585" i="2" s="1"/>
  <c r="M584" i="2"/>
  <c r="P584" i="2" s="1"/>
  <c r="M583" i="2"/>
  <c r="P583" i="2" s="1"/>
  <c r="M582" i="2"/>
  <c r="P582" i="2" s="1"/>
  <c r="M581" i="2"/>
  <c r="P581" i="2" s="1"/>
  <c r="M580" i="2"/>
  <c r="P580" i="2" s="1"/>
  <c r="M579" i="2"/>
  <c r="P579" i="2" s="1"/>
  <c r="M578" i="2"/>
  <c r="P578" i="2" s="1"/>
  <c r="M577" i="2"/>
  <c r="P577" i="2" s="1"/>
  <c r="M576" i="2"/>
  <c r="P576" i="2" s="1"/>
  <c r="M575" i="2"/>
  <c r="P575" i="2" s="1"/>
  <c r="M574" i="2"/>
  <c r="P574" i="2" s="1"/>
  <c r="M573" i="2"/>
  <c r="P573" i="2" s="1"/>
  <c r="M572" i="2"/>
  <c r="P572" i="2" s="1"/>
  <c r="M571" i="2"/>
  <c r="P571" i="2" s="1"/>
  <c r="M570" i="2"/>
  <c r="P570" i="2" s="1"/>
  <c r="M569" i="2"/>
  <c r="P569" i="2" s="1"/>
  <c r="M568" i="2"/>
  <c r="P568" i="2" s="1"/>
  <c r="M567" i="2"/>
  <c r="P567" i="2" s="1"/>
  <c r="M566" i="2"/>
  <c r="P566" i="2" s="1"/>
  <c r="M565" i="2"/>
  <c r="P565" i="2" s="1"/>
  <c r="M564" i="2"/>
  <c r="P564" i="2" s="1"/>
  <c r="M563" i="2"/>
  <c r="P563" i="2" s="1"/>
  <c r="M562" i="2"/>
  <c r="P562" i="2" s="1"/>
  <c r="M561" i="2"/>
  <c r="P561" i="2" s="1"/>
  <c r="M560" i="2"/>
  <c r="P560" i="2" s="1"/>
  <c r="M559" i="2"/>
  <c r="P559" i="2" s="1"/>
  <c r="M558" i="2"/>
  <c r="P558" i="2" s="1"/>
  <c r="M557" i="2"/>
  <c r="P557" i="2" s="1"/>
  <c r="M556" i="2"/>
  <c r="P556" i="2" s="1"/>
  <c r="M555" i="2"/>
  <c r="P555" i="2" s="1"/>
  <c r="M554" i="2"/>
  <c r="P554" i="2" s="1"/>
  <c r="M553" i="2"/>
  <c r="P553" i="2" s="1"/>
  <c r="M552" i="2"/>
  <c r="P552" i="2" s="1"/>
  <c r="M551" i="2"/>
  <c r="P551" i="2" s="1"/>
  <c r="M550" i="2"/>
  <c r="P550" i="2" s="1"/>
  <c r="M549" i="2"/>
  <c r="P549" i="2" s="1"/>
  <c r="M548" i="2"/>
  <c r="P548" i="2" s="1"/>
  <c r="M547" i="2"/>
  <c r="P547" i="2" s="1"/>
  <c r="M546" i="2"/>
  <c r="P546" i="2" s="1"/>
  <c r="M545" i="2"/>
  <c r="P545" i="2" s="1"/>
  <c r="M544" i="2"/>
  <c r="P544" i="2" s="1"/>
  <c r="M543" i="2"/>
  <c r="P543" i="2" s="1"/>
  <c r="M542" i="2"/>
  <c r="P542" i="2" s="1"/>
  <c r="M541" i="2"/>
  <c r="P541" i="2" s="1"/>
  <c r="M540" i="2"/>
  <c r="P540" i="2" s="1"/>
  <c r="M539" i="2"/>
  <c r="P539" i="2" s="1"/>
  <c r="M538" i="2"/>
  <c r="P538" i="2" s="1"/>
  <c r="M537" i="2"/>
  <c r="P537" i="2" s="1"/>
  <c r="M536" i="2"/>
  <c r="P536" i="2" s="1"/>
  <c r="M535" i="2"/>
  <c r="P535" i="2" s="1"/>
  <c r="M534" i="2"/>
  <c r="P534" i="2" s="1"/>
  <c r="M533" i="2"/>
  <c r="P533" i="2" s="1"/>
  <c r="M532" i="2"/>
  <c r="P532" i="2" s="1"/>
  <c r="M531" i="2"/>
  <c r="P531" i="2" s="1"/>
  <c r="M530" i="2"/>
  <c r="P530" i="2" s="1"/>
  <c r="M529" i="2"/>
  <c r="P529" i="2" s="1"/>
  <c r="M528" i="2"/>
  <c r="P528" i="2" s="1"/>
  <c r="M527" i="2"/>
  <c r="P527" i="2" s="1"/>
  <c r="M526" i="2"/>
  <c r="P526" i="2" s="1"/>
  <c r="M525" i="2"/>
  <c r="P525" i="2" s="1"/>
  <c r="M524" i="2"/>
  <c r="P524" i="2" s="1"/>
  <c r="I958" i="2"/>
  <c r="I957" i="2"/>
  <c r="I956" i="2"/>
  <c r="I955" i="2"/>
  <c r="I950" i="2"/>
  <c r="I951" i="2"/>
  <c r="I952" i="2"/>
  <c r="I953" i="2"/>
  <c r="I954" i="2"/>
  <c r="I944" i="2"/>
  <c r="I945" i="2"/>
  <c r="I946" i="2"/>
  <c r="I947" i="2"/>
  <c r="I948" i="2"/>
  <c r="I949" i="2"/>
  <c r="I937" i="2"/>
  <c r="I938" i="2"/>
  <c r="I939" i="2"/>
  <c r="I940" i="2"/>
  <c r="I941" i="2"/>
  <c r="I942" i="2"/>
  <c r="I943" i="2"/>
  <c r="I936" i="2"/>
  <c r="I932" i="2"/>
  <c r="I933" i="2"/>
  <c r="I934" i="2"/>
  <c r="I935" i="2"/>
  <c r="I927" i="2"/>
  <c r="I928" i="2"/>
  <c r="I929" i="2"/>
  <c r="I930" i="2"/>
  <c r="I931" i="2"/>
  <c r="I926" i="2"/>
  <c r="I917" i="2"/>
  <c r="I918" i="2"/>
  <c r="I919" i="2"/>
  <c r="I909" i="2"/>
  <c r="I910" i="2"/>
  <c r="I911" i="2"/>
  <c r="I912" i="2"/>
  <c r="I913" i="2"/>
  <c r="I914" i="2"/>
  <c r="I915" i="2"/>
  <c r="I916" i="2"/>
  <c r="I903" i="2"/>
  <c r="I904" i="2"/>
  <c r="I905" i="2"/>
  <c r="I906" i="2"/>
  <c r="I907" i="2"/>
  <c r="I908" i="2"/>
  <c r="I902" i="2"/>
  <c r="I898" i="2"/>
  <c r="I899" i="2"/>
  <c r="I900" i="2"/>
  <c r="I901" i="2"/>
  <c r="I896" i="2"/>
  <c r="I897" i="2"/>
  <c r="I893" i="2"/>
  <c r="I894" i="2"/>
  <c r="I895" i="2"/>
  <c r="I885" i="2"/>
  <c r="I886" i="2"/>
  <c r="I887" i="2"/>
  <c r="I888" i="2"/>
  <c r="I889" i="2"/>
  <c r="I890" i="2"/>
  <c r="I891" i="2"/>
  <c r="I892" i="2"/>
  <c r="I884" i="2"/>
  <c r="I878" i="2"/>
  <c r="I879" i="2"/>
  <c r="I880" i="2"/>
  <c r="I881" i="2"/>
  <c r="I882" i="2"/>
  <c r="I883" i="2"/>
  <c r="I871" i="2"/>
  <c r="I872" i="2"/>
  <c r="I873" i="2"/>
  <c r="I874" i="2"/>
  <c r="I875" i="2"/>
  <c r="I876" i="2"/>
  <c r="I877" i="2"/>
  <c r="I866" i="2"/>
  <c r="I867" i="2"/>
  <c r="I868" i="2"/>
  <c r="I869" i="2"/>
  <c r="I870" i="2"/>
  <c r="I862" i="2"/>
  <c r="I863" i="2"/>
  <c r="I864" i="2"/>
  <c r="I865" i="2"/>
  <c r="I860" i="2"/>
  <c r="I861" i="2"/>
  <c r="I854" i="2"/>
  <c r="I855" i="2"/>
  <c r="I856" i="2"/>
  <c r="I857" i="2"/>
  <c r="I858" i="2"/>
  <c r="I859" i="2"/>
  <c r="I848" i="2"/>
  <c r="I849" i="2"/>
  <c r="I850" i="2"/>
  <c r="I851" i="2"/>
  <c r="I852" i="2"/>
  <c r="I853" i="2"/>
  <c r="I840" i="2"/>
  <c r="I841" i="2"/>
  <c r="I842" i="2"/>
  <c r="I843" i="2"/>
  <c r="I844" i="2"/>
  <c r="I845" i="2"/>
  <c r="I846" i="2"/>
  <c r="I847" i="2"/>
  <c r="I833" i="2"/>
  <c r="I834" i="2"/>
  <c r="I835" i="2"/>
  <c r="I836" i="2"/>
  <c r="I837" i="2"/>
  <c r="I838" i="2"/>
  <c r="I839" i="2"/>
  <c r="I824" i="2"/>
  <c r="I825" i="2"/>
  <c r="I826" i="2"/>
  <c r="I827" i="2"/>
  <c r="I828" i="2"/>
  <c r="I829" i="2"/>
  <c r="I830" i="2"/>
  <c r="I831" i="2"/>
  <c r="I832" i="2"/>
  <c r="I821" i="2"/>
  <c r="I822" i="2"/>
  <c r="I823" i="2"/>
  <c r="I817" i="2"/>
  <c r="I818" i="2"/>
  <c r="I819" i="2"/>
  <c r="I820" i="2"/>
  <c r="I816" i="2"/>
  <c r="I815" i="2"/>
  <c r="I814" i="2"/>
  <c r="I813" i="2"/>
  <c r="I812" i="2"/>
  <c r="I809" i="2"/>
  <c r="I810" i="2"/>
  <c r="I811" i="2"/>
  <c r="I802" i="2"/>
  <c r="I803" i="2"/>
  <c r="I804" i="2"/>
  <c r="I805" i="2"/>
  <c r="I806" i="2"/>
  <c r="I807" i="2"/>
  <c r="I808" i="2"/>
  <c r="I801" i="2"/>
  <c r="I798" i="2"/>
  <c r="I799" i="2"/>
  <c r="I800" i="2"/>
  <c r="I796" i="2"/>
  <c r="I797" i="2"/>
  <c r="I791" i="2"/>
  <c r="I792" i="2"/>
  <c r="I793" i="2"/>
  <c r="I794" i="2"/>
  <c r="I795" i="2"/>
  <c r="I790" i="2"/>
  <c r="I789" i="2"/>
  <c r="I788" i="2"/>
  <c r="I784" i="2"/>
  <c r="I785" i="2"/>
  <c r="I782" i="2"/>
  <c r="I783" i="2"/>
  <c r="I781" i="2"/>
  <c r="I780" i="2"/>
  <c r="I776" i="2"/>
  <c r="I777" i="2"/>
  <c r="I778" i="2"/>
  <c r="I779" i="2"/>
  <c r="I770" i="2"/>
  <c r="I771" i="2"/>
  <c r="I772" i="2"/>
  <c r="I773" i="2"/>
  <c r="I774" i="2"/>
  <c r="I775" i="2"/>
  <c r="I761" i="2"/>
  <c r="I762" i="2"/>
  <c r="I763" i="2"/>
  <c r="I764" i="2"/>
  <c r="I765" i="2"/>
  <c r="I766" i="2"/>
  <c r="I767" i="2"/>
  <c r="I768" i="2"/>
  <c r="I769" i="2"/>
  <c r="I753" i="2"/>
  <c r="I754" i="2"/>
  <c r="I755" i="2"/>
  <c r="I756" i="2"/>
  <c r="I757" i="2"/>
  <c r="I758" i="2"/>
  <c r="I759" i="2"/>
  <c r="I760" i="2"/>
  <c r="I752" i="2"/>
  <c r="I746" i="2"/>
  <c r="I747" i="2"/>
  <c r="I748" i="2"/>
  <c r="I749" i="2"/>
  <c r="I750" i="2"/>
  <c r="I751" i="2"/>
  <c r="I740" i="2"/>
  <c r="I741" i="2"/>
  <c r="I742" i="2"/>
  <c r="I743" i="2"/>
  <c r="I744" i="2"/>
  <c r="I745" i="2"/>
  <c r="I739" i="2"/>
  <c r="I735" i="2"/>
  <c r="I736" i="2"/>
  <c r="I734" i="2"/>
  <c r="I733" i="2"/>
  <c r="I730" i="2"/>
  <c r="I731" i="2"/>
  <c r="I732" i="2"/>
  <c r="I728" i="2"/>
  <c r="I729" i="2"/>
  <c r="I725" i="2"/>
  <c r="I726" i="2"/>
  <c r="I727" i="2"/>
  <c r="I723" i="2"/>
  <c r="I724" i="2"/>
  <c r="I722" i="2"/>
  <c r="I719" i="2"/>
  <c r="I720" i="2"/>
  <c r="I721" i="2"/>
  <c r="I713" i="2"/>
  <c r="I714" i="2"/>
  <c r="I715" i="2"/>
  <c r="I716" i="2"/>
  <c r="I717" i="2"/>
  <c r="I718" i="2"/>
  <c r="I705" i="2"/>
  <c r="I706" i="2"/>
  <c r="I707" i="2"/>
  <c r="I708" i="2"/>
  <c r="I709" i="2"/>
  <c r="I710" i="2"/>
  <c r="I711" i="2"/>
  <c r="I712" i="2"/>
  <c r="I704" i="2"/>
  <c r="I702" i="2"/>
  <c r="I703" i="2"/>
  <c r="I701" i="2"/>
  <c r="I700" i="2"/>
  <c r="I696" i="2"/>
  <c r="I697" i="2"/>
  <c r="I698" i="2"/>
  <c r="I695" i="2"/>
  <c r="I686" i="2"/>
  <c r="I687" i="2"/>
  <c r="I688" i="2"/>
  <c r="I689" i="2"/>
  <c r="I690" i="2"/>
  <c r="I691" i="2"/>
  <c r="I692" i="2"/>
  <c r="I693" i="2"/>
  <c r="I694" i="2"/>
  <c r="I683" i="2"/>
  <c r="I684" i="2"/>
  <c r="I685" i="2"/>
  <c r="I682" i="2"/>
  <c r="I681" i="2"/>
  <c r="I680" i="2"/>
  <c r="I679" i="2"/>
  <c r="I677" i="2"/>
  <c r="I678" i="2"/>
  <c r="I676" i="2"/>
  <c r="I673" i="2"/>
  <c r="I674" i="2"/>
  <c r="I675" i="2"/>
  <c r="I672" i="2"/>
  <c r="I671" i="2"/>
  <c r="I670" i="2"/>
  <c r="I669" i="2"/>
  <c r="I668" i="2"/>
  <c r="I667" i="2"/>
  <c r="I666" i="2"/>
  <c r="I665" i="2"/>
  <c r="I662" i="2"/>
  <c r="I663" i="2"/>
  <c r="I664" i="2"/>
  <c r="I657" i="2"/>
  <c r="I658" i="2"/>
  <c r="I659" i="2"/>
  <c r="I660" i="2"/>
  <c r="I661" i="2"/>
  <c r="I656" i="2"/>
  <c r="I650" i="2"/>
  <c r="I651" i="2"/>
  <c r="I652" i="2"/>
  <c r="I653" i="2"/>
  <c r="I654" i="2"/>
  <c r="I655" i="2"/>
  <c r="I649" i="2"/>
  <c r="I645" i="2"/>
  <c r="I646" i="2"/>
  <c r="I647" i="2"/>
  <c r="I648" i="2"/>
  <c r="I644" i="2"/>
  <c r="I643" i="2"/>
  <c r="I642" i="2"/>
  <c r="I641" i="2"/>
  <c r="I639" i="2"/>
  <c r="I640" i="2"/>
  <c r="I637" i="2"/>
  <c r="I638" i="2"/>
  <c r="I635" i="2"/>
  <c r="I636" i="2"/>
  <c r="I629" i="2"/>
  <c r="I630" i="2"/>
  <c r="I631" i="2"/>
  <c r="I632" i="2"/>
  <c r="I633" i="2"/>
  <c r="I634" i="2"/>
  <c r="I625" i="2"/>
  <c r="I626" i="2"/>
  <c r="I627" i="2"/>
  <c r="I628" i="2"/>
  <c r="I620" i="2"/>
  <c r="I621" i="2"/>
  <c r="I622" i="2"/>
  <c r="I623" i="2"/>
  <c r="I624" i="2"/>
  <c r="I611" i="2"/>
  <c r="I612" i="2"/>
  <c r="I613" i="2"/>
  <c r="I614" i="2"/>
  <c r="I615" i="2"/>
  <c r="I616" i="2"/>
  <c r="I617" i="2"/>
  <c r="I618" i="2"/>
  <c r="I619" i="2"/>
  <c r="I605" i="2"/>
  <c r="I606" i="2"/>
  <c r="I607" i="2"/>
  <c r="I608" i="2"/>
  <c r="I609" i="2"/>
  <c r="I610" i="2"/>
  <c r="I596" i="2"/>
  <c r="I597" i="2"/>
  <c r="I598" i="2"/>
  <c r="I599" i="2"/>
  <c r="I600" i="2"/>
  <c r="I601" i="2"/>
  <c r="I602" i="2"/>
  <c r="I603" i="2"/>
  <c r="I604" i="2"/>
  <c r="I587" i="2"/>
  <c r="I588" i="2"/>
  <c r="I589" i="2"/>
  <c r="I590" i="2"/>
  <c r="I591" i="2"/>
  <c r="I592" i="2"/>
  <c r="I593" i="2"/>
  <c r="I594" i="2"/>
  <c r="I595" i="2"/>
  <c r="I578" i="2"/>
  <c r="I579" i="2"/>
  <c r="I580" i="2"/>
  <c r="I581" i="2"/>
  <c r="I582" i="2"/>
  <c r="I583" i="2"/>
  <c r="I584" i="2"/>
  <c r="I585" i="2"/>
  <c r="I586" i="2"/>
  <c r="I572" i="2"/>
  <c r="I573" i="2"/>
  <c r="I574" i="2"/>
  <c r="I575" i="2"/>
  <c r="I576" i="2"/>
  <c r="I577" i="2"/>
  <c r="I566" i="2"/>
  <c r="I567" i="2"/>
  <c r="I568" i="2"/>
  <c r="I569" i="2"/>
  <c r="I570" i="2"/>
  <c r="I571" i="2"/>
  <c r="I560" i="2"/>
  <c r="I561" i="2"/>
  <c r="I562" i="2"/>
  <c r="I563" i="2"/>
  <c r="I564" i="2"/>
  <c r="I565" i="2"/>
  <c r="I554" i="2"/>
  <c r="I555" i="2"/>
  <c r="I556" i="2"/>
  <c r="I557" i="2"/>
  <c r="I558" i="2"/>
  <c r="I559" i="2"/>
  <c r="I553" i="2"/>
  <c r="I552" i="2"/>
  <c r="I551" i="2"/>
  <c r="I545" i="2"/>
  <c r="I546" i="2"/>
  <c r="I547" i="2"/>
  <c r="I548" i="2"/>
  <c r="I549" i="2"/>
  <c r="I550" i="2"/>
  <c r="I539" i="2"/>
  <c r="I540" i="2"/>
  <c r="I541" i="2"/>
  <c r="I542" i="2"/>
  <c r="I543" i="2"/>
  <c r="I544" i="2"/>
  <c r="I530" i="2"/>
  <c r="I531" i="2"/>
  <c r="I532" i="2"/>
  <c r="I533" i="2"/>
  <c r="I534" i="2"/>
  <c r="I535" i="2"/>
  <c r="I536" i="2"/>
  <c r="I537" i="2"/>
  <c r="I538" i="2"/>
  <c r="I525" i="2"/>
  <c r="I526" i="2"/>
  <c r="I527" i="2"/>
  <c r="I528" i="2"/>
  <c r="I529" i="2"/>
  <c r="I524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40" i="2"/>
  <c r="Q41" i="2"/>
  <c r="Q42" i="2"/>
  <c r="Q43" i="2"/>
  <c r="Q44" i="2"/>
  <c r="Q45" i="2"/>
  <c r="Q47" i="2"/>
  <c r="Q48" i="2"/>
  <c r="P48" i="2" s="1"/>
  <c r="M48" i="2" s="1"/>
  <c r="I48" i="2" s="1"/>
  <c r="Q49" i="2"/>
  <c r="Q50" i="2"/>
  <c r="Q51" i="2"/>
  <c r="Q52" i="2"/>
  <c r="Q53" i="2"/>
  <c r="Q54" i="2"/>
  <c r="Q56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80" i="2"/>
  <c r="Q81" i="2"/>
  <c r="Q82" i="2"/>
  <c r="Q83" i="2"/>
  <c r="Q84" i="2"/>
  <c r="Q85" i="2"/>
  <c r="Q86" i="2"/>
  <c r="Q88" i="2"/>
  <c r="Q92" i="2"/>
  <c r="Q93" i="2"/>
  <c r="Q94" i="2"/>
  <c r="Q96" i="2"/>
  <c r="Q97" i="2"/>
  <c r="Q98" i="2"/>
  <c r="Q99" i="2"/>
  <c r="Q100" i="2"/>
  <c r="P100" i="2" s="1"/>
  <c r="M100" i="2" s="1"/>
  <c r="I100" i="2" s="1"/>
  <c r="Q102" i="2"/>
  <c r="Q103" i="2"/>
  <c r="Q104" i="2"/>
  <c r="Q105" i="2"/>
  <c r="Q106" i="2"/>
  <c r="Q107" i="2"/>
  <c r="Q110" i="2"/>
  <c r="Q111" i="2"/>
  <c r="Q112" i="2"/>
  <c r="Q116" i="2"/>
  <c r="Q117" i="2"/>
  <c r="Q119" i="2"/>
  <c r="Q120" i="2"/>
  <c r="Q122" i="2"/>
  <c r="Q123" i="2"/>
  <c r="Q124" i="2"/>
  <c r="Q125" i="2"/>
  <c r="Q127" i="2"/>
  <c r="Q128" i="2"/>
  <c r="Q133" i="2"/>
  <c r="Q137" i="2"/>
  <c r="Q138" i="2"/>
  <c r="Q139" i="2"/>
  <c r="Q140" i="2"/>
  <c r="Q141" i="2"/>
  <c r="Q142" i="2"/>
  <c r="Q143" i="2"/>
  <c r="Q144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1" i="2"/>
  <c r="Q192" i="2"/>
  <c r="Q193" i="2"/>
  <c r="Q195" i="2"/>
  <c r="Q196" i="2"/>
  <c r="Q197" i="2"/>
  <c r="Q198" i="2"/>
  <c r="Q199" i="2"/>
  <c r="Q200" i="2"/>
  <c r="Q201" i="2"/>
  <c r="Q202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20" i="2"/>
  <c r="Q222" i="2"/>
  <c r="Q223" i="2"/>
  <c r="Q224" i="2"/>
  <c r="Q225" i="2"/>
  <c r="Q226" i="2"/>
  <c r="Q227" i="2"/>
  <c r="Q228" i="2"/>
  <c r="Q229" i="2"/>
  <c r="Q232" i="2"/>
  <c r="Q233" i="2"/>
  <c r="Q234" i="2"/>
  <c r="Q235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2" i="2"/>
  <c r="Q293" i="2"/>
  <c r="Q294" i="2"/>
  <c r="Q295" i="2"/>
  <c r="Q296" i="2"/>
  <c r="Q297" i="2"/>
  <c r="Q298" i="2"/>
  <c r="P298" i="2" s="1"/>
  <c r="M298" i="2" s="1"/>
  <c r="I298" i="2" s="1"/>
  <c r="Q299" i="2"/>
  <c r="P299" i="2" s="1"/>
  <c r="M299" i="2" s="1"/>
  <c r="I299" i="2" s="1"/>
  <c r="Q300" i="2"/>
  <c r="P300" i="2" s="1"/>
  <c r="M300" i="2" s="1"/>
  <c r="I300" i="2" s="1"/>
  <c r="Q302" i="2"/>
  <c r="P302" i="2" s="1"/>
  <c r="Q303" i="2"/>
  <c r="P303" i="2" s="1"/>
  <c r="M303" i="2" s="1"/>
  <c r="I303" i="2" s="1"/>
  <c r="Q306" i="2"/>
  <c r="P306" i="2" s="1"/>
  <c r="Q307" i="2"/>
  <c r="P307" i="2" s="1"/>
  <c r="M307" i="2" s="1"/>
  <c r="I307" i="2" s="1"/>
  <c r="Q308" i="2"/>
  <c r="Q309" i="2"/>
  <c r="Q310" i="2"/>
  <c r="P310" i="2" s="1"/>
  <c r="M310" i="2" s="1"/>
  <c r="I310" i="2" s="1"/>
  <c r="Q311" i="2"/>
  <c r="Q312" i="2"/>
  <c r="Q314" i="2"/>
  <c r="Q315" i="2"/>
  <c r="Q316" i="2"/>
  <c r="Q318" i="2"/>
  <c r="Q319" i="2"/>
  <c r="Q320" i="2"/>
  <c r="Q321" i="2"/>
  <c r="Q322" i="2"/>
  <c r="Q323" i="2"/>
  <c r="Q324" i="2"/>
  <c r="Q326" i="2"/>
  <c r="Q327" i="2"/>
  <c r="Q328" i="2"/>
  <c r="Q329" i="2"/>
  <c r="P329" i="2" s="1"/>
  <c r="M329" i="2" s="1"/>
  <c r="I329" i="2" s="1"/>
  <c r="Q330" i="2"/>
  <c r="Q331" i="2"/>
  <c r="P331" i="2" s="1"/>
  <c r="M331" i="2" s="1"/>
  <c r="I331" i="2" s="1"/>
  <c r="Q332" i="2"/>
  <c r="P332" i="2" s="1"/>
  <c r="M332" i="2" s="1"/>
  <c r="I332" i="2" s="1"/>
  <c r="Q333" i="2"/>
  <c r="P333" i="2" s="1"/>
  <c r="M333" i="2" s="1"/>
  <c r="I333" i="2" s="1"/>
  <c r="Q334" i="2"/>
  <c r="P334" i="2" s="1"/>
  <c r="M334" i="2" s="1"/>
  <c r="I334" i="2" s="1"/>
  <c r="Q335" i="2"/>
  <c r="P335" i="2" s="1"/>
  <c r="M335" i="2" s="1"/>
  <c r="I335" i="2" s="1"/>
  <c r="Q336" i="2"/>
  <c r="P336" i="2" s="1"/>
  <c r="M336" i="2" s="1"/>
  <c r="I336" i="2" s="1"/>
  <c r="Q337" i="2"/>
  <c r="P337" i="2" s="1"/>
  <c r="M337" i="2" s="1"/>
  <c r="I337" i="2" s="1"/>
  <c r="Q338" i="2"/>
  <c r="P338" i="2" s="1"/>
  <c r="M338" i="2" s="1"/>
  <c r="I338" i="2" s="1"/>
  <c r="Q339" i="2"/>
  <c r="P339" i="2" s="1"/>
  <c r="M339" i="2" s="1"/>
  <c r="I339" i="2" s="1"/>
  <c r="Q340" i="2"/>
  <c r="Q341" i="2"/>
  <c r="Q342" i="2"/>
  <c r="Q343" i="2"/>
  <c r="Q344" i="2"/>
  <c r="Q345" i="2"/>
  <c r="P345" i="2" s="1"/>
  <c r="M345" i="2" s="1"/>
  <c r="I345" i="2" s="1"/>
  <c r="Q346" i="2"/>
  <c r="P346" i="2" s="1"/>
  <c r="M346" i="2" s="1"/>
  <c r="I346" i="2" s="1"/>
  <c r="Q347" i="2"/>
  <c r="P347" i="2" s="1"/>
  <c r="M347" i="2" s="1"/>
  <c r="I347" i="2" s="1"/>
  <c r="Q348" i="2"/>
  <c r="Q349" i="2"/>
  <c r="Q350" i="2"/>
  <c r="Q351" i="2"/>
  <c r="Q352" i="2"/>
  <c r="Q353" i="2"/>
  <c r="P353" i="2" s="1"/>
  <c r="M353" i="2" s="1"/>
  <c r="I353" i="2" s="1"/>
  <c r="Q354" i="2"/>
  <c r="P354" i="2" s="1"/>
  <c r="M354" i="2" s="1"/>
  <c r="I354" i="2" s="1"/>
  <c r="Q355" i="2"/>
  <c r="P355" i="2" s="1"/>
  <c r="M355" i="2" s="1"/>
  <c r="I355" i="2" s="1"/>
  <c r="Q356" i="2"/>
  <c r="P356" i="2" s="1"/>
  <c r="M356" i="2" s="1"/>
  <c r="I356" i="2" s="1"/>
  <c r="Q357" i="2"/>
  <c r="P357" i="2" s="1"/>
  <c r="M357" i="2" s="1"/>
  <c r="I357" i="2" s="1"/>
  <c r="Q369" i="2"/>
  <c r="P369" i="2" s="1"/>
  <c r="M369" i="2" s="1"/>
  <c r="I369" i="2" s="1"/>
  <c r="Q370" i="2"/>
  <c r="Q371" i="2"/>
  <c r="P371" i="2" s="1"/>
  <c r="M371" i="2" s="1"/>
  <c r="I371" i="2" s="1"/>
  <c r="Q372" i="2"/>
  <c r="Q373" i="2"/>
  <c r="Q374" i="2"/>
  <c r="Q375" i="2"/>
  <c r="P375" i="2" s="1"/>
  <c r="M375" i="2" s="1"/>
  <c r="I375" i="2" s="1"/>
  <c r="Q376" i="2"/>
  <c r="Q377" i="2"/>
  <c r="Q378" i="2"/>
  <c r="Q379" i="2"/>
  <c r="Q383" i="2"/>
  <c r="P383" i="2" s="1"/>
  <c r="M383" i="2" s="1"/>
  <c r="I383" i="2" s="1"/>
  <c r="Q384" i="2"/>
  <c r="Q385" i="2"/>
  <c r="Q386" i="2"/>
  <c r="Q387" i="2"/>
  <c r="P387" i="2" s="1"/>
  <c r="M387" i="2" s="1"/>
  <c r="I387" i="2" s="1"/>
  <c r="Q388" i="2"/>
  <c r="P388" i="2" s="1"/>
  <c r="M388" i="2" s="1"/>
  <c r="I388" i="2" s="1"/>
  <c r="Q389" i="2"/>
  <c r="P389" i="2" s="1"/>
  <c r="M389" i="2" s="1"/>
  <c r="I389" i="2" s="1"/>
  <c r="Q390" i="2"/>
  <c r="P390" i="2" s="1"/>
  <c r="M390" i="2" s="1"/>
  <c r="I390" i="2" s="1"/>
  <c r="Q392" i="2"/>
  <c r="P392" i="2" s="1"/>
  <c r="M392" i="2" s="1"/>
  <c r="I392" i="2" s="1"/>
  <c r="Q396" i="2"/>
  <c r="P396" i="2" s="1"/>
  <c r="M396" i="2" s="1"/>
  <c r="I396" i="2" s="1"/>
  <c r="Q397" i="2"/>
  <c r="P397" i="2" s="1"/>
  <c r="M397" i="2" s="1"/>
  <c r="I397" i="2" s="1"/>
  <c r="Q398" i="2"/>
  <c r="P398" i="2" s="1"/>
  <c r="M398" i="2" s="1"/>
  <c r="I398" i="2" s="1"/>
  <c r="Q399" i="2"/>
  <c r="P399" i="2" s="1"/>
  <c r="M399" i="2" s="1"/>
  <c r="I399" i="2" s="1"/>
  <c r="Q401" i="2"/>
  <c r="P401" i="2" s="1"/>
  <c r="M401" i="2" s="1"/>
  <c r="I401" i="2" s="1"/>
  <c r="Q402" i="2"/>
  <c r="Q403" i="2"/>
  <c r="Q404" i="2"/>
  <c r="Q405" i="2"/>
  <c r="Q406" i="2"/>
  <c r="Q407" i="2"/>
  <c r="P407" i="2" s="1"/>
  <c r="M407" i="2" s="1"/>
  <c r="I407" i="2" s="1"/>
  <c r="Q408" i="2"/>
  <c r="P408" i="2" s="1"/>
  <c r="M408" i="2" s="1"/>
  <c r="I408" i="2" s="1"/>
  <c r="Q409" i="2"/>
  <c r="Q410" i="2"/>
  <c r="Q411" i="2"/>
  <c r="Q412" i="2"/>
  <c r="Q413" i="2"/>
  <c r="P413" i="2" s="1"/>
  <c r="M413" i="2" s="1"/>
  <c r="I413" i="2" s="1"/>
  <c r="Q414" i="2"/>
  <c r="Q415" i="2"/>
  <c r="P415" i="2" s="1"/>
  <c r="M415" i="2" s="1"/>
  <c r="I415" i="2" s="1"/>
  <c r="Q416" i="2"/>
  <c r="Q417" i="2"/>
  <c r="Q418" i="2"/>
  <c r="Q419" i="2"/>
  <c r="P419" i="2" s="1"/>
  <c r="M419" i="2" s="1"/>
  <c r="I419" i="2" s="1"/>
  <c r="Q420" i="2"/>
  <c r="Q421" i="2"/>
  <c r="P421" i="2" s="1"/>
  <c r="M421" i="2" s="1"/>
  <c r="I421" i="2" s="1"/>
  <c r="Q422" i="2"/>
  <c r="P422" i="2" s="1"/>
  <c r="M422" i="2" s="1"/>
  <c r="I422" i="2" s="1"/>
  <c r="Q423" i="2"/>
  <c r="P423" i="2" s="1"/>
  <c r="M423" i="2" s="1"/>
  <c r="I423" i="2" s="1"/>
  <c r="Q424" i="2"/>
  <c r="P424" i="2" s="1"/>
  <c r="M424" i="2" s="1"/>
  <c r="I424" i="2" s="1"/>
  <c r="Q425" i="2"/>
  <c r="P425" i="2" s="1"/>
  <c r="M425" i="2" s="1"/>
  <c r="I425" i="2" s="1"/>
  <c r="Q426" i="2"/>
  <c r="P426" i="2" s="1"/>
  <c r="M426" i="2" s="1"/>
  <c r="I426" i="2" s="1"/>
  <c r="Q427" i="2"/>
  <c r="P427" i="2" s="1"/>
  <c r="M427" i="2" s="1"/>
  <c r="I427" i="2" s="1"/>
  <c r="Q429" i="2"/>
  <c r="P429" i="2" s="1"/>
  <c r="M429" i="2" s="1"/>
  <c r="I429" i="2" s="1"/>
  <c r="Q430" i="2"/>
  <c r="P430" i="2" s="1"/>
  <c r="M430" i="2" s="1"/>
  <c r="I430" i="2" s="1"/>
  <c r="Q432" i="2"/>
  <c r="P432" i="2" s="1"/>
  <c r="M432" i="2" s="1"/>
  <c r="I432" i="2" s="1"/>
  <c r="Q433" i="2"/>
  <c r="P433" i="2" s="1"/>
  <c r="M433" i="2" s="1"/>
  <c r="I433" i="2" s="1"/>
  <c r="Q434" i="2"/>
  <c r="P434" i="2" s="1"/>
  <c r="M434" i="2" s="1"/>
  <c r="I434" i="2" s="1"/>
  <c r="Q435" i="2"/>
  <c r="P435" i="2" s="1"/>
  <c r="M435" i="2" s="1"/>
  <c r="I435" i="2" s="1"/>
  <c r="Q436" i="2"/>
  <c r="P436" i="2" s="1"/>
  <c r="M436" i="2" s="1"/>
  <c r="I436" i="2" s="1"/>
  <c r="Q437" i="2"/>
  <c r="P437" i="2" s="1"/>
  <c r="M437" i="2" s="1"/>
  <c r="I437" i="2" s="1"/>
  <c r="Q438" i="2"/>
  <c r="P438" i="2" s="1"/>
  <c r="M438" i="2" s="1"/>
  <c r="I438" i="2" s="1"/>
  <c r="Q439" i="2"/>
  <c r="P439" i="2" s="1"/>
  <c r="M439" i="2" s="1"/>
  <c r="I439" i="2" s="1"/>
  <c r="Q440" i="2"/>
  <c r="P440" i="2" s="1"/>
  <c r="M440" i="2" s="1"/>
  <c r="I440" i="2" s="1"/>
  <c r="Q441" i="2"/>
  <c r="P441" i="2" s="1"/>
  <c r="M441" i="2" s="1"/>
  <c r="I441" i="2" s="1"/>
  <c r="Q442" i="2"/>
  <c r="P442" i="2" s="1"/>
  <c r="M442" i="2" s="1"/>
  <c r="I442" i="2" s="1"/>
  <c r="Q443" i="2"/>
  <c r="P443" i="2" s="1"/>
  <c r="M443" i="2" s="1"/>
  <c r="I443" i="2" s="1"/>
  <c r="Q445" i="2"/>
  <c r="P445" i="2" s="1"/>
  <c r="M445" i="2" s="1"/>
  <c r="I445" i="2" s="1"/>
  <c r="Q446" i="2"/>
  <c r="P446" i="2" s="1"/>
  <c r="M446" i="2" s="1"/>
  <c r="I446" i="2" s="1"/>
  <c r="Q447" i="2"/>
  <c r="P447" i="2" s="1"/>
  <c r="M447" i="2" s="1"/>
  <c r="I447" i="2" s="1"/>
  <c r="Q448" i="2"/>
  <c r="P448" i="2" s="1"/>
  <c r="M448" i="2" s="1"/>
  <c r="I448" i="2" s="1"/>
  <c r="Q449" i="2"/>
  <c r="P449" i="2" s="1"/>
  <c r="M449" i="2" s="1"/>
  <c r="I449" i="2" s="1"/>
  <c r="Q450" i="2"/>
  <c r="Q451" i="2"/>
  <c r="Q452" i="2"/>
  <c r="P452" i="2" s="1"/>
  <c r="M452" i="2" s="1"/>
  <c r="I452" i="2" s="1"/>
  <c r="Q453" i="2"/>
  <c r="Q454" i="2"/>
  <c r="Q455" i="2"/>
  <c r="Q456" i="2"/>
  <c r="Q457" i="2"/>
  <c r="P457" i="2" s="1"/>
  <c r="M457" i="2" s="1"/>
  <c r="I457" i="2" s="1"/>
  <c r="Q458" i="2"/>
  <c r="P458" i="2" s="1"/>
  <c r="M458" i="2" s="1"/>
  <c r="I458" i="2" s="1"/>
  <c r="Q459" i="2"/>
  <c r="P459" i="2" s="1"/>
  <c r="M459" i="2" s="1"/>
  <c r="I459" i="2" s="1"/>
  <c r="Q460" i="2"/>
  <c r="Q461" i="2"/>
  <c r="Q462" i="2"/>
  <c r="Q463" i="2"/>
  <c r="Q464" i="2"/>
  <c r="Q465" i="2"/>
  <c r="Q466" i="2"/>
  <c r="P466" i="2" s="1"/>
  <c r="M466" i="2" s="1"/>
  <c r="I466" i="2" s="1"/>
  <c r="Q467" i="2"/>
  <c r="P467" i="2" s="1"/>
  <c r="Q468" i="2"/>
  <c r="Q469" i="2"/>
  <c r="Q470" i="2"/>
  <c r="Q471" i="2"/>
  <c r="Q472" i="2"/>
  <c r="P472" i="2" s="1"/>
  <c r="M472" i="2" s="1"/>
  <c r="I472" i="2" s="1"/>
  <c r="Q473" i="2"/>
  <c r="P473" i="2" s="1"/>
  <c r="M473" i="2" s="1"/>
  <c r="I473" i="2" s="1"/>
  <c r="Q474" i="2"/>
  <c r="P474" i="2" s="1"/>
  <c r="M474" i="2" s="1"/>
  <c r="I474" i="2" s="1"/>
  <c r="Q475" i="2"/>
  <c r="P475" i="2" s="1"/>
  <c r="M475" i="2" s="1"/>
  <c r="I475" i="2" s="1"/>
  <c r="Q476" i="2"/>
  <c r="P476" i="2" s="1"/>
  <c r="M476" i="2" s="1"/>
  <c r="I476" i="2" s="1"/>
  <c r="Q477" i="2"/>
  <c r="P477" i="2" s="1"/>
  <c r="M477" i="2" s="1"/>
  <c r="I477" i="2" s="1"/>
  <c r="Q478" i="2"/>
  <c r="P478" i="2" s="1"/>
  <c r="M478" i="2" s="1"/>
  <c r="I478" i="2" s="1"/>
  <c r="Q479" i="2"/>
  <c r="P479" i="2" s="1"/>
  <c r="M479" i="2" s="1"/>
  <c r="I479" i="2" s="1"/>
  <c r="Q480" i="2"/>
  <c r="Q481" i="2"/>
  <c r="Q482" i="2"/>
  <c r="Q964" i="2"/>
  <c r="Q19" i="2"/>
  <c r="Q16" i="2"/>
  <c r="Q14" i="2"/>
  <c r="M309" i="2"/>
  <c r="P309" i="2" s="1"/>
  <c r="M311" i="2"/>
  <c r="P311" i="2" s="1"/>
  <c r="M312" i="2"/>
  <c r="P312" i="2" s="1"/>
  <c r="M314" i="2"/>
  <c r="P314" i="2" s="1"/>
  <c r="M315" i="2"/>
  <c r="P315" i="2" s="1"/>
  <c r="M316" i="2"/>
  <c r="P316" i="2" s="1"/>
  <c r="M318" i="2"/>
  <c r="P318" i="2" s="1"/>
  <c r="M319" i="2"/>
  <c r="P319" i="2" s="1"/>
  <c r="M320" i="2"/>
  <c r="P320" i="2" s="1"/>
  <c r="M321" i="2"/>
  <c r="P321" i="2" s="1"/>
  <c r="M322" i="2"/>
  <c r="P322" i="2" s="1"/>
  <c r="M323" i="2"/>
  <c r="P323" i="2" s="1"/>
  <c r="M324" i="2"/>
  <c r="P324" i="2" s="1"/>
  <c r="M326" i="2"/>
  <c r="P326" i="2" s="1"/>
  <c r="M327" i="2"/>
  <c r="P327" i="2" s="1"/>
  <c r="M328" i="2"/>
  <c r="P328" i="2" s="1"/>
  <c r="M330" i="2"/>
  <c r="P330" i="2" s="1"/>
  <c r="M340" i="2"/>
  <c r="P340" i="2" s="1"/>
  <c r="M341" i="2"/>
  <c r="P341" i="2" s="1"/>
  <c r="M342" i="2"/>
  <c r="P342" i="2" s="1"/>
  <c r="M343" i="2"/>
  <c r="P343" i="2" s="1"/>
  <c r="M344" i="2"/>
  <c r="P344" i="2" s="1"/>
  <c r="M348" i="2"/>
  <c r="P348" i="2" s="1"/>
  <c r="M349" i="2"/>
  <c r="P349" i="2" s="1"/>
  <c r="M350" i="2"/>
  <c r="P350" i="2" s="1"/>
  <c r="M351" i="2"/>
  <c r="P351" i="2" s="1"/>
  <c r="M352" i="2"/>
  <c r="P352" i="2" s="1"/>
  <c r="M372" i="2"/>
  <c r="P372" i="2" s="1"/>
  <c r="M373" i="2"/>
  <c r="P373" i="2" s="1"/>
  <c r="M374" i="2"/>
  <c r="P374" i="2" s="1"/>
  <c r="M376" i="2"/>
  <c r="P376" i="2" s="1"/>
  <c r="M378" i="2"/>
  <c r="P378" i="2" s="1"/>
  <c r="M405" i="2"/>
  <c r="P405" i="2" s="1"/>
  <c r="M406" i="2"/>
  <c r="P406" i="2" s="1"/>
  <c r="M411" i="2"/>
  <c r="P411" i="2" s="1"/>
  <c r="M414" i="2"/>
  <c r="P414" i="2" s="1"/>
  <c r="M416" i="2"/>
  <c r="P416" i="2" s="1"/>
  <c r="M417" i="2"/>
  <c r="P417" i="2" s="1"/>
  <c r="M418" i="2"/>
  <c r="P418" i="2" s="1"/>
  <c r="M450" i="2"/>
  <c r="P450" i="2" s="1"/>
  <c r="M451" i="2"/>
  <c r="P451" i="2" s="1"/>
  <c r="M453" i="2"/>
  <c r="P453" i="2" s="1"/>
  <c r="M455" i="2"/>
  <c r="P455" i="2" s="1"/>
  <c r="M456" i="2"/>
  <c r="P456" i="2" s="1"/>
  <c r="M460" i="2"/>
  <c r="P460" i="2" s="1"/>
  <c r="M461" i="2"/>
  <c r="P461" i="2" s="1"/>
  <c r="M462" i="2"/>
  <c r="P462" i="2" s="1"/>
  <c r="M463" i="2"/>
  <c r="P463" i="2" s="1"/>
  <c r="M464" i="2"/>
  <c r="P464" i="2" s="1"/>
  <c r="M465" i="2"/>
  <c r="P465" i="2" s="1"/>
  <c r="M468" i="2"/>
  <c r="P468" i="2" s="1"/>
  <c r="M469" i="2"/>
  <c r="P469" i="2" s="1"/>
  <c r="M470" i="2"/>
  <c r="P470" i="2" s="1"/>
  <c r="M471" i="2"/>
  <c r="P471" i="2" s="1"/>
  <c r="M480" i="2"/>
  <c r="P480" i="2" s="1"/>
  <c r="M481" i="2"/>
  <c r="P481" i="2" s="1"/>
  <c r="M482" i="2"/>
  <c r="P482" i="2" s="1"/>
  <c r="M467" i="2" l="1"/>
  <c r="I467" i="2"/>
  <c r="M295" i="2"/>
  <c r="P295" i="2" s="1"/>
  <c r="M286" i="2"/>
  <c r="P286" i="2" s="1"/>
  <c r="M284" i="2"/>
  <c r="P284" i="2" s="1"/>
  <c r="M285" i="2"/>
  <c r="P285" i="2" s="1"/>
  <c r="M282" i="2"/>
  <c r="P282" i="2" s="1"/>
  <c r="M283" i="2"/>
  <c r="P283" i="2" s="1"/>
  <c r="M281" i="2"/>
  <c r="P281" i="2" s="1"/>
  <c r="M272" i="2"/>
  <c r="P272" i="2" s="1"/>
  <c r="M273" i="2"/>
  <c r="P273" i="2" s="1"/>
  <c r="M274" i="2"/>
  <c r="P274" i="2" s="1"/>
  <c r="M275" i="2"/>
  <c r="P275" i="2" s="1"/>
  <c r="M244" i="2"/>
  <c r="P244" i="2" s="1"/>
  <c r="M242" i="2"/>
  <c r="P242" i="2" s="1"/>
  <c r="M243" i="2"/>
  <c r="P243" i="2" s="1"/>
  <c r="M241" i="2"/>
  <c r="P241" i="2" s="1"/>
  <c r="M240" i="2"/>
  <c r="P240" i="2" s="1"/>
  <c r="M237" i="2"/>
  <c r="P237" i="2" s="1"/>
  <c r="M238" i="2"/>
  <c r="P238" i="2" s="1"/>
  <c r="M239" i="2"/>
  <c r="P239" i="2" s="1"/>
  <c r="M235" i="2"/>
  <c r="P235" i="2" s="1"/>
  <c r="M224" i="2"/>
  <c r="P224" i="2" s="1"/>
  <c r="M225" i="2"/>
  <c r="P225" i="2" s="1"/>
  <c r="M226" i="2"/>
  <c r="P226" i="2" s="1"/>
  <c r="M227" i="2"/>
  <c r="P227" i="2" s="1"/>
  <c r="M223" i="2"/>
  <c r="P223" i="2" s="1"/>
  <c r="M216" i="2"/>
  <c r="P216" i="2" s="1"/>
  <c r="M217" i="2"/>
  <c r="P217" i="2" s="1"/>
  <c r="M218" i="2"/>
  <c r="P218" i="2" s="1"/>
  <c r="M220" i="2"/>
  <c r="P220" i="2" s="1"/>
  <c r="M222" i="2"/>
  <c r="P222" i="2" s="1"/>
  <c r="M215" i="2"/>
  <c r="P215" i="2" s="1"/>
  <c r="M214" i="2"/>
  <c r="P214" i="2" s="1"/>
  <c r="M212" i="2"/>
  <c r="P212" i="2" s="1"/>
  <c r="M213" i="2"/>
  <c r="P213" i="2" s="1"/>
  <c r="M211" i="2"/>
  <c r="P211" i="2" s="1"/>
  <c r="M208" i="2"/>
  <c r="P208" i="2" s="1"/>
  <c r="M207" i="2"/>
  <c r="P207" i="2" s="1"/>
  <c r="M206" i="2"/>
  <c r="P206" i="2" s="1"/>
  <c r="M202" i="2"/>
  <c r="P202" i="2" s="1"/>
  <c r="M201" i="2"/>
  <c r="P201" i="2" s="1"/>
  <c r="M192" i="2"/>
  <c r="P192" i="2" s="1"/>
  <c r="M193" i="2"/>
  <c r="P193" i="2" s="1"/>
  <c r="M195" i="2"/>
  <c r="P195" i="2" s="1"/>
  <c r="M196" i="2"/>
  <c r="P196" i="2" s="1"/>
  <c r="M197" i="2"/>
  <c r="P197" i="2" s="1"/>
  <c r="M198" i="2"/>
  <c r="P198" i="2" s="1"/>
  <c r="M199" i="2"/>
  <c r="P199" i="2" s="1"/>
  <c r="M200" i="2"/>
  <c r="P200" i="2" s="1"/>
  <c r="M191" i="2"/>
  <c r="P191" i="2" s="1"/>
  <c r="M189" i="2"/>
  <c r="P189" i="2" s="1"/>
  <c r="M186" i="2"/>
  <c r="P186" i="2" s="1"/>
  <c r="M187" i="2"/>
  <c r="P187" i="2" s="1"/>
  <c r="M188" i="2"/>
  <c r="P188" i="2" s="1"/>
  <c r="M185" i="2"/>
  <c r="P185" i="2" s="1"/>
  <c r="M184" i="2"/>
  <c r="P184" i="2" s="1"/>
  <c r="M182" i="2"/>
  <c r="P182" i="2" s="1"/>
  <c r="M181" i="2"/>
  <c r="P181" i="2" s="1"/>
  <c r="M180" i="2"/>
  <c r="P180" i="2" s="1"/>
  <c r="M179" i="2"/>
  <c r="P179" i="2" s="1"/>
  <c r="M174" i="2"/>
  <c r="P174" i="2" s="1"/>
  <c r="M175" i="2"/>
  <c r="P175" i="2" s="1"/>
  <c r="M176" i="2"/>
  <c r="P176" i="2" s="1"/>
  <c r="M177" i="2"/>
  <c r="P177" i="2" s="1"/>
  <c r="M178" i="2"/>
  <c r="P178" i="2" s="1"/>
  <c r="M170" i="2"/>
  <c r="P170" i="2" s="1"/>
  <c r="M171" i="2"/>
  <c r="P171" i="2" s="1"/>
  <c r="M172" i="2"/>
  <c r="P172" i="2" s="1"/>
  <c r="M173" i="2"/>
  <c r="P173" i="2" s="1"/>
  <c r="M163" i="2"/>
  <c r="P163" i="2" s="1"/>
  <c r="M164" i="2"/>
  <c r="P164" i="2" s="1"/>
  <c r="M165" i="2"/>
  <c r="P165" i="2" s="1"/>
  <c r="M166" i="2"/>
  <c r="P166" i="2" s="1"/>
  <c r="M167" i="2"/>
  <c r="P167" i="2" s="1"/>
  <c r="M168" i="2"/>
  <c r="P168" i="2" s="1"/>
  <c r="M169" i="2"/>
  <c r="P169" i="2" s="1"/>
  <c r="M162" i="2"/>
  <c r="P162" i="2" s="1"/>
  <c r="M159" i="2"/>
  <c r="P159" i="2" s="1"/>
  <c r="M161" i="2"/>
  <c r="P161" i="2" s="1"/>
  <c r="M157" i="2"/>
  <c r="P157" i="2" s="1"/>
  <c r="M158" i="2"/>
  <c r="P158" i="2" s="1"/>
  <c r="M150" i="2"/>
  <c r="P150" i="2" s="1"/>
  <c r="M151" i="2"/>
  <c r="P151" i="2" s="1"/>
  <c r="M152" i="2"/>
  <c r="P152" i="2" s="1"/>
  <c r="M153" i="2"/>
  <c r="P153" i="2" s="1"/>
  <c r="M154" i="2"/>
  <c r="P154" i="2" s="1"/>
  <c r="M155" i="2"/>
  <c r="P155" i="2" s="1"/>
  <c r="M156" i="2"/>
  <c r="P156" i="2" s="1"/>
  <c r="M149" i="2"/>
  <c r="P149" i="2" s="1"/>
  <c r="M123" i="2"/>
  <c r="P123" i="2" s="1"/>
  <c r="M117" i="2"/>
  <c r="P117" i="2" s="1"/>
  <c r="M116" i="2"/>
  <c r="P116" i="2" s="1"/>
  <c r="M110" i="2"/>
  <c r="P110" i="2" s="1"/>
  <c r="M111" i="2"/>
  <c r="P111" i="2" s="1"/>
  <c r="M112" i="2"/>
  <c r="P112" i="2" s="1"/>
  <c r="M103" i="2"/>
  <c r="P103" i="2" s="1"/>
  <c r="M104" i="2"/>
  <c r="P104" i="2" s="1"/>
  <c r="M105" i="2"/>
  <c r="P105" i="2" s="1"/>
  <c r="M106" i="2"/>
  <c r="P106" i="2" s="1"/>
  <c r="M107" i="2"/>
  <c r="P107" i="2" s="1"/>
  <c r="M102" i="2"/>
  <c r="P102" i="2" s="1"/>
  <c r="M99" i="2"/>
  <c r="P99" i="2" s="1"/>
  <c r="M94" i="2"/>
  <c r="P94" i="2" s="1"/>
  <c r="M96" i="2"/>
  <c r="P96" i="2" s="1"/>
  <c r="M97" i="2"/>
  <c r="P97" i="2" s="1"/>
  <c r="M98" i="2"/>
  <c r="P98" i="2" s="1"/>
  <c r="M93" i="2"/>
  <c r="P93" i="2" s="1"/>
  <c r="M86" i="2"/>
  <c r="P86" i="2" s="1"/>
  <c r="M88" i="2"/>
  <c r="P88" i="2" s="1"/>
  <c r="M92" i="2"/>
  <c r="P92" i="2" s="1"/>
  <c r="M85" i="2"/>
  <c r="P85" i="2" s="1"/>
  <c r="M84" i="2"/>
  <c r="P84" i="2" s="1"/>
  <c r="M83" i="2"/>
  <c r="P83" i="2" s="1"/>
  <c r="M82" i="2"/>
  <c r="P82" i="2" s="1"/>
  <c r="M81" i="2"/>
  <c r="P81" i="2" s="1"/>
  <c r="M77" i="2"/>
  <c r="P77" i="2" s="1"/>
  <c r="M78" i="2"/>
  <c r="P78" i="2" s="1"/>
  <c r="M80" i="2"/>
  <c r="P80" i="2" s="1"/>
  <c r="M72" i="2"/>
  <c r="P72" i="2" s="1"/>
  <c r="M73" i="2"/>
  <c r="P73" i="2" s="1"/>
  <c r="M74" i="2"/>
  <c r="P74" i="2" s="1"/>
  <c r="M75" i="2"/>
  <c r="P75" i="2" s="1"/>
  <c r="M76" i="2"/>
  <c r="P76" i="2" s="1"/>
  <c r="M71" i="2"/>
  <c r="P71" i="2" s="1"/>
  <c r="M70" i="2"/>
  <c r="P70" i="2" s="1"/>
  <c r="M69" i="2"/>
  <c r="P69" i="2" s="1"/>
  <c r="M65" i="2"/>
  <c r="P65" i="2" s="1"/>
  <c r="M66" i="2"/>
  <c r="P66" i="2" s="1"/>
  <c r="M67" i="2"/>
  <c r="P67" i="2" s="1"/>
  <c r="M64" i="2"/>
  <c r="P64" i="2" s="1"/>
  <c r="M59" i="2"/>
  <c r="P59" i="2" s="1"/>
  <c r="P60" i="2"/>
  <c r="M61" i="2"/>
  <c r="P61" i="2" s="1"/>
  <c r="M62" i="2"/>
  <c r="P62" i="2" s="1"/>
  <c r="M63" i="2"/>
  <c r="P63" i="2" s="1"/>
  <c r="M54" i="2"/>
  <c r="P54" i="2" s="1"/>
  <c r="M56" i="2"/>
  <c r="P56" i="2" s="1"/>
  <c r="M58" i="2"/>
  <c r="P58" i="2" s="1"/>
  <c r="M52" i="2"/>
  <c r="P52" i="2" s="1"/>
  <c r="M53" i="2"/>
  <c r="P53" i="2" s="1"/>
  <c r="M51" i="2"/>
  <c r="P51" i="2" s="1"/>
  <c r="M268" i="2" l="1"/>
  <c r="P268" i="2" s="1"/>
  <c r="M271" i="2" l="1"/>
  <c r="P271" i="2" s="1"/>
  <c r="M270" i="2"/>
  <c r="P270" i="2" s="1"/>
  <c r="M264" i="2" l="1"/>
  <c r="P264" i="2" s="1"/>
  <c r="M265" i="2"/>
  <c r="P265" i="2" s="1"/>
  <c r="M266" i="2"/>
  <c r="P266" i="2" s="1"/>
  <c r="M263" i="2"/>
  <c r="P263" i="2" s="1"/>
  <c r="M262" i="2"/>
  <c r="P262" i="2" s="1"/>
  <c r="M261" i="2"/>
  <c r="P261" i="2" s="1"/>
  <c r="M260" i="2"/>
  <c r="P260" i="2" s="1"/>
  <c r="M256" i="2"/>
  <c r="P256" i="2" s="1"/>
  <c r="M257" i="2"/>
  <c r="P257" i="2" s="1"/>
  <c r="M258" i="2"/>
  <c r="P258" i="2" s="1"/>
  <c r="M259" i="2"/>
  <c r="P259" i="2" s="1"/>
  <c r="M255" i="2"/>
  <c r="P255" i="2" s="1"/>
  <c r="M254" i="2"/>
  <c r="P254" i="2" s="1"/>
  <c r="M253" i="2"/>
  <c r="P253" i="2" s="1"/>
  <c r="M252" i="2"/>
  <c r="P252" i="2" s="1"/>
  <c r="M251" i="2"/>
  <c r="P251" i="2" s="1"/>
  <c r="M250" i="2"/>
  <c r="P250" i="2" s="1"/>
  <c r="M249" i="2"/>
  <c r="P249" i="2" s="1"/>
  <c r="M248" i="2"/>
  <c r="P248" i="2" s="1"/>
  <c r="M247" i="2"/>
  <c r="P247" i="2" s="1"/>
  <c r="M246" i="2"/>
  <c r="P246" i="2" s="1"/>
  <c r="M22" i="2" l="1"/>
  <c r="P22" i="2" s="1"/>
  <c r="M21" i="2"/>
  <c r="P21" i="2" s="1"/>
  <c r="N39" i="2"/>
  <c r="Q39" i="2" s="1"/>
  <c r="N38" i="2"/>
  <c r="Q38" i="2" s="1"/>
  <c r="N37" i="2"/>
  <c r="N36" i="2"/>
  <c r="N35" i="2"/>
  <c r="N34" i="2"/>
  <c r="M33" i="2"/>
  <c r="P33" i="2" s="1"/>
  <c r="M32" i="2"/>
  <c r="P32" i="2" s="1"/>
  <c r="M20" i="2"/>
  <c r="P20" i="2" s="1"/>
  <c r="M23" i="2"/>
  <c r="P23" i="2" s="1"/>
  <c r="M24" i="2"/>
  <c r="P24" i="2" s="1"/>
  <c r="M25" i="2"/>
  <c r="P25" i="2" s="1"/>
  <c r="M26" i="2"/>
  <c r="P26" i="2" s="1"/>
  <c r="M27" i="2"/>
  <c r="P27" i="2" s="1"/>
  <c r="M28" i="2"/>
  <c r="P28" i="2" s="1"/>
  <c r="M29" i="2"/>
  <c r="P29" i="2" s="1"/>
  <c r="M30" i="2"/>
  <c r="P30" i="2" s="1"/>
  <c r="M31" i="2"/>
  <c r="P31" i="2" s="1"/>
  <c r="M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19" i="2"/>
  <c r="N965" i="2" l="1"/>
  <c r="P19" i="2"/>
  <c r="Q34" i="2"/>
  <c r="M35" i="2"/>
  <c r="P35" i="2" s="1"/>
  <c r="Q35" i="2"/>
  <c r="M36" i="2"/>
  <c r="P36" i="2" s="1"/>
  <c r="Q36" i="2"/>
  <c r="M37" i="2"/>
  <c r="P37" i="2" s="1"/>
  <c r="Q37" i="2"/>
  <c r="M34" i="2"/>
  <c r="P34" i="2" s="1"/>
  <c r="Q965" i="2" l="1"/>
  <c r="F965" i="2"/>
  <c r="M302" i="2"/>
  <c r="I302" i="2" s="1"/>
  <c r="P965" i="2"/>
  <c r="M965" i="2"/>
  <c r="M306" i="2"/>
  <c r="I306" i="2" s="1"/>
  <c r="D6" i="5"/>
  <c r="J15" i="4"/>
  <c r="C10" i="5"/>
  <c r="D10" i="5" s="1"/>
  <c r="I965" i="2" l="1"/>
  <c r="Q15" i="4"/>
  <c r="D21" i="6" l="1"/>
  <c r="D24" i="6"/>
  <c r="D22" i="6"/>
  <c r="D23" i="6"/>
  <c r="D20" i="6"/>
  <c r="D3" i="6"/>
  <c r="N15" i="4"/>
  <c r="D26" i="6" l="1"/>
  <c r="D30" i="6" s="1"/>
</calcChain>
</file>

<file path=xl/sharedStrings.xml><?xml version="1.0" encoding="utf-8"?>
<sst xmlns="http://schemas.openxmlformats.org/spreadsheetml/2006/main" count="5467" uniqueCount="2942">
  <si>
    <t>Наименование расходов</t>
  </si>
  <si>
    <t>Итого</t>
  </si>
  <si>
    <t>РАСЧЕТ</t>
  </si>
  <si>
    <t>(полное наименование юридического лица)</t>
  </si>
  <si>
    <t>Размер субсидии составляет: ______________________________ рублей.</t>
  </si>
  <si>
    <t>Руководитель юридического лица</t>
  </si>
  <si>
    <t>(подпись)</t>
  </si>
  <si>
    <t>(фамилия, имя, отчество)</t>
  </si>
  <si>
    <t>Главный бухгалтер</t>
  </si>
  <si>
    <t>М.П.</t>
  </si>
  <si>
    <t>дата</t>
  </si>
  <si>
    <t>Размер оплаты 
по договору, руб. 
(за субсидируемый период, с НДС)</t>
  </si>
  <si>
    <t>Таблица 1</t>
  </si>
  <si>
    <t>Таблица 2</t>
  </si>
  <si>
    <t>№ п/п</t>
  </si>
  <si>
    <t>1. Расчет объема инвестиций на создание нового промышленного предприятия и (или) увеличение производственных мощностей существующего промышленного предприятия на территории Московской области, профинансированных претендентом на получение субсидии</t>
  </si>
  <si>
    <t>Затраты на строительство новых промышленных предприятий, 
в т.ч.:</t>
  </si>
  <si>
    <t>Затраты на приобретение и реконструкцию объекта капитального строительства с целью создания промышленного производства,
в т.ч.:</t>
  </si>
  <si>
    <t>Затраты на строительство (реконструкцию) объекта капитального строительства, связанные с созданием новых производственных мощностей,
в т.ч.:</t>
  </si>
  <si>
    <t>Затраты на закупку производственного оборудования,
в т.ч.:</t>
  </si>
  <si>
    <t>Платежи по договору возвратного лизинга объекта капитального строительства,
в т.ч.:</t>
  </si>
  <si>
    <t>2. Расчет суммы затрат на строительство объектов инженерной инфраструктуры, подключение (технологическое присоединение) к инженерным сетям новых промышленных предприятий или действующих промышленных предприятий, увеличивших производственные мощности, учитывается за период года ввода в эксплуатацию объекта промышленного назначения и 3-х предшествующих календарных лет</t>
  </si>
  <si>
    <t>№ тома</t>
  </si>
  <si>
    <t>Примечание</t>
  </si>
  <si>
    <t>№ договора</t>
  </si>
  <si>
    <t xml:space="preserve"> Дата договора </t>
  </si>
  <si>
    <t>№ платежных поручений</t>
  </si>
  <si>
    <t>Дата платежных поручений</t>
  </si>
  <si>
    <t>№ актов (выполненных работ, приема-передачи)</t>
  </si>
  <si>
    <t>Дата актов (выполненных работ, приема-передачи)</t>
  </si>
  <si>
    <t>Расчет объема инвестиций (без НДС)</t>
  </si>
  <si>
    <t>Сумма по платежным поручениям (без НДС)</t>
  </si>
  <si>
    <t>размера субсидии юридическим лицам в целях возмещения затрат
на создание объектов инженерной и транспортной инфраструктуры для новых промышленных предприятий
и для новых производственных мощностей существующих промышленных предприятий
на территории Московской области</t>
  </si>
  <si>
    <t>Затраты, связанные со строительством и (или) реконструкцией (в т.ч. модернизацией) объектов транспортной инфраструктуры (железнодорожных путей необщего пользования, примыкающих к путям общего или необщего пользования)</t>
  </si>
  <si>
    <t xml:space="preserve">Затраты, связанные со строительством и (или) реконструкцией (в т.ч. модернизацией) объектов дорожной инфраструктуры (автомобильных дорог) </t>
  </si>
  <si>
    <t>Затраты на водоснабжение, водоотведение (в т.ч. канализацию) объекта капитального строительства, в т.ч.:</t>
  </si>
  <si>
    <t>Затраты на электроснабжение объекта капитального строительства, в т.ч.:</t>
  </si>
  <si>
    <t>Затраты на газоснабжение объекта капитального строительства, в т.ч.:</t>
  </si>
  <si>
    <t>Приложение 3
к Заявлению 
на предоставление субсидии</t>
  </si>
  <si>
    <t>Сумма по платежным поручениям 
(с НДС)</t>
  </si>
  <si>
    <t>Сумма по актам 
(с НДС)</t>
  </si>
  <si>
    <t>Сумма по актам 
(без НДС)</t>
  </si>
  <si>
    <t>Расчет объема инвестиций (с НДС)</t>
  </si>
  <si>
    <t>Затраты на теплоснабжение объекта капитального строительства, в т.ч.:</t>
  </si>
  <si>
    <t>Затраты, связанные с созданием водозаборных сооружений, в т.ч.:</t>
  </si>
  <si>
    <t>Размер субсидии рассчитывается по формуле: "Итого" графы 17 (Таблица 2) x 100 процентов, в соответствии с пунктом 2.5 Порядка предоставления субсидий юридическим лицам (за исключением субсидий государственным (муниципальным) учреждениям) в целях возмещения затрат на создание объектов инженерной и транспортной инфраструктуры для новых промышленных предприятий и для новых производственных мощностей существующих промышленных предприятий на территории Московской области в соответствии с мероприятием 7.4 «Предоставление субсидий юридическим лицам в целях возмещения затрат на создание объектов инженерной и транспортной инфраструктуры для новых промышленных предприятий и для новых производственных мощностей существующих промышленных предприятий на территории Московской области» Подпрограммы I Государственной программы, утвержденной постановлением Правительства Московской области от 25.10.2016 № 788/39 «Об утверждении государственной программы «Предпринимательство Подмосковья» на 2017 – 2021 годы».</t>
  </si>
  <si>
    <t>Общий объем инвестиций рассчитывается по формуле: "Итого" графы 17 (Таблица 1) + "Итого" графы 17 (Таблица 2) и составляет: _______________ рублей.</t>
  </si>
  <si>
    <t>Общество с ограниченной ответственностью машиностроительный завод "Тонар"</t>
  </si>
  <si>
    <t>-</t>
  </si>
  <si>
    <t>04.10.2013</t>
  </si>
  <si>
    <t>б/н</t>
  </si>
  <si>
    <t>09.10.2013</t>
  </si>
  <si>
    <t>7879</t>
  </si>
  <si>
    <t>176/11</t>
  </si>
  <si>
    <t>11.07.11</t>
  </si>
  <si>
    <t>217/11</t>
  </si>
  <si>
    <t>24.12.2011</t>
  </si>
  <si>
    <t>325/13</t>
  </si>
  <si>
    <t>327/13</t>
  </si>
  <si>
    <t>330/13</t>
  </si>
  <si>
    <t>355/13</t>
  </si>
  <si>
    <t>356/13</t>
  </si>
  <si>
    <t>384/14</t>
  </si>
  <si>
    <t>385/14</t>
  </si>
  <si>
    <t>01.09.2014</t>
  </si>
  <si>
    <t>106/12</t>
  </si>
  <si>
    <t>101/12</t>
  </si>
  <si>
    <t>218/14</t>
  </si>
  <si>
    <t>229/14</t>
  </si>
  <si>
    <t>187/13</t>
  </si>
  <si>
    <t>354/13</t>
  </si>
  <si>
    <t>231/14</t>
  </si>
  <si>
    <t>2607</t>
  </si>
  <si>
    <t>238/14</t>
  </si>
  <si>
    <t>230/14</t>
  </si>
  <si>
    <t>235/14</t>
  </si>
  <si>
    <t>234/13</t>
  </si>
  <si>
    <t>234/14</t>
  </si>
  <si>
    <t>323/13</t>
  </si>
  <si>
    <t>19.09.2013</t>
  </si>
  <si>
    <t>174/13</t>
  </si>
  <si>
    <t>ООО "Элмид-техно"</t>
  </si>
  <si>
    <t>ООО "Промситех"</t>
  </si>
  <si>
    <t>ООО "Кука Роботикс Рус"</t>
  </si>
  <si>
    <t>ООО "Торговые системы"</t>
  </si>
  <si>
    <t>ООО "Фанук Роботикс"</t>
  </si>
  <si>
    <t>Gudel</t>
  </si>
  <si>
    <t>Эдвин Оссовеки погрузчик сервис</t>
  </si>
  <si>
    <t>Ральф Тайхманн ГмбХ</t>
  </si>
  <si>
    <t>Мессер Каттинг Системс ГмбХ</t>
  </si>
  <si>
    <t>аккредитив</t>
  </si>
  <si>
    <t>Adams Machinery</t>
  </si>
  <si>
    <t>ООО "Эковент К"</t>
  </si>
  <si>
    <t>Anchor Trans,Inc</t>
  </si>
  <si>
    <t>Декларация 10216110/050416/0020613</t>
  </si>
  <si>
    <t>Декларация 10009170/180316/0000418</t>
  </si>
  <si>
    <t>Декларация 10103080/291215/0008545</t>
  </si>
  <si>
    <t xml:space="preserve">№AUF-00004706 </t>
  </si>
  <si>
    <t xml:space="preserve">№AUF-00004706  от 16.11.2016                        №AUF-00004709 от 26.11.2016 </t>
  </si>
  <si>
    <t>127</t>
  </si>
  <si>
    <t>174</t>
  </si>
  <si>
    <t>197</t>
  </si>
  <si>
    <t>9,7</t>
  </si>
  <si>
    <t xml:space="preserve"> 70     </t>
  </si>
  <si>
    <t>11.12.2015</t>
  </si>
  <si>
    <t>11.08.2016</t>
  </si>
  <si>
    <t>19.10.2016</t>
  </si>
  <si>
    <t>21.11.2016</t>
  </si>
  <si>
    <t>31.01.2017</t>
  </si>
  <si>
    <t>49721</t>
  </si>
  <si>
    <t>07.08.2017</t>
  </si>
  <si>
    <t>3527</t>
  </si>
  <si>
    <t xml:space="preserve">4374 </t>
  </si>
  <si>
    <t>11714</t>
  </si>
  <si>
    <t xml:space="preserve">11911 </t>
  </si>
  <si>
    <t>13.04.2016</t>
  </si>
  <si>
    <t>20.04.2016</t>
  </si>
  <si>
    <t>16.05.2016</t>
  </si>
  <si>
    <t>16.06.2016</t>
  </si>
  <si>
    <t>22.06.2016</t>
  </si>
  <si>
    <t>30.09.2016</t>
  </si>
  <si>
    <t>31580</t>
  </si>
  <si>
    <t>32068</t>
  </si>
  <si>
    <t>28.04.2017</t>
  </si>
  <si>
    <t>30.05.2017</t>
  </si>
  <si>
    <t>3258</t>
  </si>
  <si>
    <t>счет №2016-003973</t>
  </si>
  <si>
    <t>4484</t>
  </si>
  <si>
    <t>19.05.2016</t>
  </si>
  <si>
    <t xml:space="preserve">11927 </t>
  </si>
  <si>
    <t xml:space="preserve">4372 </t>
  </si>
  <si>
    <t xml:space="preserve">13893 </t>
  </si>
  <si>
    <t xml:space="preserve">3296 </t>
  </si>
  <si>
    <t xml:space="preserve">11934 </t>
  </si>
  <si>
    <t xml:space="preserve">13193 </t>
  </si>
  <si>
    <t>15715</t>
  </si>
  <si>
    <t>17165</t>
  </si>
  <si>
    <t>31021</t>
  </si>
  <si>
    <t>32610</t>
  </si>
  <si>
    <t>33385</t>
  </si>
  <si>
    <t>34303</t>
  </si>
  <si>
    <t>49720</t>
  </si>
  <si>
    <t>22.07.2016</t>
  </si>
  <si>
    <t>03.11.2016</t>
  </si>
  <si>
    <t>12.04.2017</t>
  </si>
  <si>
    <t>15.06.2017</t>
  </si>
  <si>
    <t>07.07.2017</t>
  </si>
  <si>
    <t>15030</t>
  </si>
  <si>
    <t>13.09.2016</t>
  </si>
  <si>
    <t>Счет№037 от 01.05.2017</t>
  </si>
  <si>
    <t>32059</t>
  </si>
  <si>
    <t>15.05.2017</t>
  </si>
  <si>
    <t xml:space="preserve">1699 </t>
  </si>
  <si>
    <t xml:space="preserve">3050 </t>
  </si>
  <si>
    <t xml:space="preserve">4371 </t>
  </si>
  <si>
    <t xml:space="preserve">11717 </t>
  </si>
  <si>
    <t>15033</t>
  </si>
  <si>
    <t>26.02.2016</t>
  </si>
  <si>
    <t>07.04.2016</t>
  </si>
  <si>
    <t>50011</t>
  </si>
  <si>
    <t>14.08.2017</t>
  </si>
  <si>
    <t xml:space="preserve">2804 </t>
  </si>
  <si>
    <t>31.03.2016</t>
  </si>
  <si>
    <t>дог.№28-11-2016 от 28.11.2016 доп.согл.№1 от 20.12.2016</t>
  </si>
  <si>
    <t>29339</t>
  </si>
  <si>
    <t>02.03.2017</t>
  </si>
  <si>
    <t>31070</t>
  </si>
  <si>
    <t>13.04.2017</t>
  </si>
  <si>
    <t>14377</t>
  </si>
  <si>
    <t xml:space="preserve"> 26.08.2016</t>
  </si>
  <si>
    <t>15716</t>
  </si>
  <si>
    <t>30664</t>
  </si>
  <si>
    <t>49612</t>
  </si>
  <si>
    <t>05.04.2017</t>
  </si>
  <si>
    <t>03.08.2017</t>
  </si>
  <si>
    <t xml:space="preserve">3298 </t>
  </si>
  <si>
    <t xml:space="preserve">11716 </t>
  </si>
  <si>
    <t>32062</t>
  </si>
  <si>
    <t xml:space="preserve">11964 </t>
  </si>
  <si>
    <t>23.06.2016</t>
  </si>
  <si>
    <t>№Сч-69970 от 17.01.2017,Сч-70398,Сч-70399 от 31.01.2017</t>
  </si>
  <si>
    <t>счет№Сч-70726 от 09.02.2017</t>
  </si>
  <si>
    <t>823</t>
  </si>
  <si>
    <t>21882</t>
  </si>
  <si>
    <t>28753</t>
  </si>
  <si>
    <t>31022</t>
  </si>
  <si>
    <t>31279</t>
  </si>
  <si>
    <t>31280</t>
  </si>
  <si>
    <t>31764</t>
  </si>
  <si>
    <t>34365</t>
  </si>
  <si>
    <t>50009</t>
  </si>
  <si>
    <t>30.01.2017</t>
  </si>
  <si>
    <t>02.02.2017</t>
  </si>
  <si>
    <t>15.02.2017</t>
  </si>
  <si>
    <t>20.04.2017</t>
  </si>
  <si>
    <t>04.05.2017</t>
  </si>
  <si>
    <t>10.07.2017</t>
  </si>
  <si>
    <t xml:space="preserve">13579 </t>
  </si>
  <si>
    <t>17107</t>
  </si>
  <si>
    <t>32642</t>
  </si>
  <si>
    <t>51732</t>
  </si>
  <si>
    <t>15789</t>
  </si>
  <si>
    <t>03.08.2016</t>
  </si>
  <si>
    <t xml:space="preserve"> 02.11.2016</t>
  </si>
  <si>
    <t>25.09.2017</t>
  </si>
  <si>
    <t>07.02.2018</t>
  </si>
  <si>
    <t xml:space="preserve">13126 </t>
  </si>
  <si>
    <t>21.07.2016</t>
  </si>
  <si>
    <t>31581</t>
  </si>
  <si>
    <t>29338</t>
  </si>
  <si>
    <t>30730</t>
  </si>
  <si>
    <t>49724</t>
  </si>
  <si>
    <t xml:space="preserve">11921 </t>
  </si>
  <si>
    <t xml:space="preserve">13577 </t>
  </si>
  <si>
    <t>14797</t>
  </si>
  <si>
    <t>07.09.2016</t>
  </si>
  <si>
    <t xml:space="preserve">11920 </t>
  </si>
  <si>
    <t>счет №79 от 04.10.16, №80 от 10.10.16</t>
  </si>
  <si>
    <t>16414</t>
  </si>
  <si>
    <t xml:space="preserve">1385 </t>
  </si>
  <si>
    <t xml:space="preserve">3872 </t>
  </si>
  <si>
    <t>17.02.2016</t>
  </si>
  <si>
    <t xml:space="preserve">3294 </t>
  </si>
  <si>
    <t>3526</t>
  </si>
  <si>
    <t>703</t>
  </si>
  <si>
    <t>32419</t>
  </si>
  <si>
    <t>26.01.2017</t>
  </si>
  <si>
    <t>24.05.2017</t>
  </si>
  <si>
    <t xml:space="preserve">4375 </t>
  </si>
  <si>
    <t>28.04.2016</t>
  </si>
  <si>
    <t xml:space="preserve">11916 </t>
  </si>
  <si>
    <t xml:space="preserve">21126 </t>
  </si>
  <si>
    <t>22.12.2015</t>
  </si>
  <si>
    <t>Акт.выполненных работ</t>
  </si>
  <si>
    <t>22136</t>
  </si>
  <si>
    <t>29342</t>
  </si>
  <si>
    <t>30801</t>
  </si>
  <si>
    <t>31763</t>
  </si>
  <si>
    <t>33382</t>
  </si>
  <si>
    <t>34364</t>
  </si>
  <si>
    <t>49723</t>
  </si>
  <si>
    <t>50936</t>
  </si>
  <si>
    <t>08.02.17</t>
  </si>
  <si>
    <t>07.04.2017</t>
  </si>
  <si>
    <t>06.09.2017</t>
  </si>
  <si>
    <t>17164</t>
  </si>
  <si>
    <t>34305</t>
  </si>
  <si>
    <t>счет 1656 от 21.06.16г.</t>
  </si>
  <si>
    <t xml:space="preserve">11923 </t>
  </si>
  <si>
    <t>5173</t>
  </si>
  <si>
    <t xml:space="preserve">12720 </t>
  </si>
  <si>
    <t>14403</t>
  </si>
  <si>
    <t>15448</t>
  </si>
  <si>
    <t>16366</t>
  </si>
  <si>
    <t>34304</t>
  </si>
  <si>
    <t>07.06.2016</t>
  </si>
  <si>
    <t>14.07.2016</t>
  </si>
  <si>
    <t>26.09.2016</t>
  </si>
  <si>
    <t>18.10.2016</t>
  </si>
  <si>
    <t xml:space="preserve">4485 </t>
  </si>
  <si>
    <t xml:space="preserve">501   </t>
  </si>
  <si>
    <t>26.01.2016</t>
  </si>
  <si>
    <t xml:space="preserve">11956 </t>
  </si>
  <si>
    <t>14085</t>
  </si>
  <si>
    <t>14404</t>
  </si>
  <si>
    <t xml:space="preserve"> 17.08.2016</t>
  </si>
  <si>
    <t>31072</t>
  </si>
  <si>
    <t xml:space="preserve">1384 </t>
  </si>
  <si>
    <t xml:space="preserve">1696 </t>
  </si>
  <si>
    <t xml:space="preserve">16418 </t>
  </si>
  <si>
    <t xml:space="preserve">2090 </t>
  </si>
  <si>
    <t xml:space="preserve">2895 </t>
  </si>
  <si>
    <t xml:space="preserve">4628 </t>
  </si>
  <si>
    <t xml:space="preserve">13121 </t>
  </si>
  <si>
    <t>10.03.2016</t>
  </si>
  <si>
    <t>01.04.2016</t>
  </si>
  <si>
    <t>25.05.2016</t>
  </si>
  <si>
    <t>705</t>
  </si>
  <si>
    <t>30729</t>
  </si>
  <si>
    <t>32418</t>
  </si>
  <si>
    <t>49719</t>
  </si>
  <si>
    <t xml:space="preserve">4373 </t>
  </si>
  <si>
    <t>Счет №78 от 29.03.2017</t>
  </si>
  <si>
    <t>30732</t>
  </si>
  <si>
    <t xml:space="preserve">20729  </t>
  </si>
  <si>
    <t xml:space="preserve">1695 </t>
  </si>
  <si>
    <t xml:space="preserve">2088 </t>
  </si>
  <si>
    <t>29337</t>
  </si>
  <si>
    <t>29336</t>
  </si>
  <si>
    <t>30731</t>
  </si>
  <si>
    <t>32061</t>
  </si>
  <si>
    <t>32060</t>
  </si>
  <si>
    <t>33386</t>
  </si>
  <si>
    <t>счет №936 от 18.05.2016г.</t>
  </si>
  <si>
    <t xml:space="preserve">4480 </t>
  </si>
  <si>
    <t>11955</t>
  </si>
  <si>
    <t>Реестр на выплату зарплаты №17</t>
  </si>
  <si>
    <t>17</t>
  </si>
  <si>
    <t>17.02.2017</t>
  </si>
  <si>
    <t xml:space="preserve">4494 </t>
  </si>
  <si>
    <t xml:space="preserve">4626 </t>
  </si>
  <si>
    <t xml:space="preserve">836    </t>
  </si>
  <si>
    <t>05.02.2016</t>
  </si>
  <si>
    <t>4495</t>
  </si>
  <si>
    <t xml:space="preserve">11962 </t>
  </si>
  <si>
    <t>4499</t>
  </si>
  <si>
    <t xml:space="preserve">21337 </t>
  </si>
  <si>
    <t xml:space="preserve">661   </t>
  </si>
  <si>
    <t xml:space="preserve">3297 </t>
  </si>
  <si>
    <t>3865</t>
  </si>
  <si>
    <t xml:space="preserve">4624 </t>
  </si>
  <si>
    <t xml:space="preserve">4620 </t>
  </si>
  <si>
    <t xml:space="preserve">11715 </t>
  </si>
  <si>
    <t xml:space="preserve">12719 </t>
  </si>
  <si>
    <t xml:space="preserve">13581 </t>
  </si>
  <si>
    <t>14084</t>
  </si>
  <si>
    <t>25.12.2015</t>
  </si>
  <si>
    <t>29.01.2016</t>
  </si>
  <si>
    <t xml:space="preserve">4498 </t>
  </si>
  <si>
    <t xml:space="preserve">11930 </t>
  </si>
  <si>
    <t xml:space="preserve">11965 </t>
  </si>
  <si>
    <t xml:space="preserve">13192 </t>
  </si>
  <si>
    <t>15446</t>
  </si>
  <si>
    <t>821</t>
  </si>
  <si>
    <t>03.10.2016</t>
  </si>
  <si>
    <t xml:space="preserve">4479 </t>
  </si>
  <si>
    <t xml:space="preserve">2893 </t>
  </si>
  <si>
    <t xml:space="preserve">3860 </t>
  </si>
  <si>
    <t xml:space="preserve">11932 </t>
  </si>
  <si>
    <t xml:space="preserve">13190 </t>
  </si>
  <si>
    <t>14541</t>
  </si>
  <si>
    <t>30.08.2016</t>
  </si>
  <si>
    <t xml:space="preserve">11924 </t>
  </si>
  <si>
    <t xml:space="preserve">21124 </t>
  </si>
  <si>
    <t xml:space="preserve">2087 </t>
  </si>
  <si>
    <t>16415</t>
  </si>
  <si>
    <t>17098</t>
  </si>
  <si>
    <t>17099</t>
  </si>
  <si>
    <t>17101</t>
  </si>
  <si>
    <t>30733</t>
  </si>
  <si>
    <t>31582</t>
  </si>
  <si>
    <t>17105</t>
  </si>
  <si>
    <t xml:space="preserve">1382 </t>
  </si>
  <si>
    <t>2089</t>
  </si>
  <si>
    <t>20731</t>
  </si>
  <si>
    <t>20730</t>
  </si>
  <si>
    <t xml:space="preserve">21128 </t>
  </si>
  <si>
    <t xml:space="preserve">11963 </t>
  </si>
  <si>
    <t xml:space="preserve">4478 </t>
  </si>
  <si>
    <t xml:space="preserve">4489 </t>
  </si>
  <si>
    <t xml:space="preserve">13583 </t>
  </si>
  <si>
    <t>15450</t>
  </si>
  <si>
    <t>15710</t>
  </si>
  <si>
    <t>16367</t>
  </si>
  <si>
    <t>305</t>
  </si>
  <si>
    <t>304</t>
  </si>
  <si>
    <t>30734</t>
  </si>
  <si>
    <t>18.01.2017</t>
  </si>
  <si>
    <t>3048</t>
  </si>
  <si>
    <t xml:space="preserve">11929 </t>
  </si>
  <si>
    <t>06.04.2016</t>
  </si>
  <si>
    <t>15036</t>
  </si>
  <si>
    <t xml:space="preserve">11925 </t>
  </si>
  <si>
    <t>22138</t>
  </si>
  <si>
    <t>08.02.2017</t>
  </si>
  <si>
    <t>Доп.соглашение №2 от 22.09.16 к дог.03-06-16ПМ от 03.08.2016г.</t>
  </si>
  <si>
    <t>Доп.соглашение №3 к дог.03-06-16ПМ от 03.08.2016г.</t>
  </si>
  <si>
    <t>счет№1 от 25.01.2017 по договору №23-11-16 от 23.11.2016 доп.согл.№1</t>
  </si>
  <si>
    <t xml:space="preserve">дог.№23-11-16ПМ </t>
  </si>
  <si>
    <t xml:space="preserve">13677 </t>
  </si>
  <si>
    <t>14405</t>
  </si>
  <si>
    <t>15397</t>
  </si>
  <si>
    <t>15711</t>
  </si>
  <si>
    <t>17102</t>
  </si>
  <si>
    <t>19482</t>
  </si>
  <si>
    <t>307</t>
  </si>
  <si>
    <t>28751</t>
  </si>
  <si>
    <t>29346</t>
  </si>
  <si>
    <t>30735</t>
  </si>
  <si>
    <t>32063</t>
  </si>
  <si>
    <t>34302</t>
  </si>
  <si>
    <t>34301</t>
  </si>
  <si>
    <t>34725</t>
  </si>
  <si>
    <t>51733</t>
  </si>
  <si>
    <t>17307</t>
  </si>
  <si>
    <t>17308</t>
  </si>
  <si>
    <t>05.08.2016</t>
  </si>
  <si>
    <t>22.09.2016</t>
  </si>
  <si>
    <t>28.12.2016</t>
  </si>
  <si>
    <t>18.07.2017</t>
  </si>
  <si>
    <t>14.03.2018</t>
  </si>
  <si>
    <t xml:space="preserve">4476 </t>
  </si>
  <si>
    <t xml:space="preserve">4376 </t>
  </si>
  <si>
    <t>11889</t>
  </si>
  <si>
    <t xml:space="preserve"> 21.06.2016</t>
  </si>
  <si>
    <t>819</t>
  </si>
  <si>
    <t>31579</t>
  </si>
  <si>
    <t xml:space="preserve">11933 </t>
  </si>
  <si>
    <t>3864</t>
  </si>
  <si>
    <t>28752</t>
  </si>
  <si>
    <t>15029</t>
  </si>
  <si>
    <t>15445</t>
  </si>
  <si>
    <t>11922</t>
  </si>
  <si>
    <t>34724</t>
  </si>
  <si>
    <t>50679</t>
  </si>
  <si>
    <t>51734</t>
  </si>
  <si>
    <t>31.08.2017</t>
  </si>
  <si>
    <t xml:space="preserve">1698 </t>
  </si>
  <si>
    <t>3868</t>
  </si>
  <si>
    <t xml:space="preserve">11931 </t>
  </si>
  <si>
    <t xml:space="preserve">4463 </t>
  </si>
  <si>
    <t>Счет№394 от 28.04.2017</t>
  </si>
  <si>
    <t>32244</t>
  </si>
  <si>
    <t>33383</t>
  </si>
  <si>
    <t>50007</t>
  </si>
  <si>
    <t>50008</t>
  </si>
  <si>
    <t>50605</t>
  </si>
  <si>
    <t>50608</t>
  </si>
  <si>
    <t>50606</t>
  </si>
  <si>
    <t>50607</t>
  </si>
  <si>
    <t>19.05.2017</t>
  </si>
  <si>
    <t>29.08.2017</t>
  </si>
  <si>
    <t xml:space="preserve">2372 </t>
  </si>
  <si>
    <t>17.03.2016</t>
  </si>
  <si>
    <t>ООО "ТК Болт.Ру"</t>
  </si>
  <si>
    <t>4496</t>
  </si>
  <si>
    <t>34363</t>
  </si>
  <si>
    <t>308</t>
  </si>
  <si>
    <t xml:space="preserve">20734 </t>
  </si>
  <si>
    <t xml:space="preserve">21125 </t>
  </si>
  <si>
    <t xml:space="preserve">500    </t>
  </si>
  <si>
    <t xml:space="preserve">502    </t>
  </si>
  <si>
    <t>1712</t>
  </si>
  <si>
    <t xml:space="preserve">1713 </t>
  </si>
  <si>
    <t xml:space="preserve">2373 </t>
  </si>
  <si>
    <t xml:space="preserve">2805 </t>
  </si>
  <si>
    <t xml:space="preserve">3869 </t>
  </si>
  <si>
    <t>3871</t>
  </si>
  <si>
    <t xml:space="preserve">4377 </t>
  </si>
  <si>
    <t xml:space="preserve">4625 </t>
  </si>
  <si>
    <t xml:space="preserve">11888 </t>
  </si>
  <si>
    <t xml:space="preserve">11886 </t>
  </si>
  <si>
    <t xml:space="preserve">12717 </t>
  </si>
  <si>
    <t xml:space="preserve">13125 </t>
  </si>
  <si>
    <t>13892</t>
  </si>
  <si>
    <t>14773</t>
  </si>
  <si>
    <t>15451</t>
  </si>
  <si>
    <t>17870</t>
  </si>
  <si>
    <t>303</t>
  </si>
  <si>
    <t>29347</t>
  </si>
  <si>
    <t>31071</t>
  </si>
  <si>
    <t>32643</t>
  </si>
  <si>
    <t>33384</t>
  </si>
  <si>
    <t>34300</t>
  </si>
  <si>
    <t>25.02.2016</t>
  </si>
  <si>
    <t>18.11.2016</t>
  </si>
  <si>
    <t xml:space="preserve">4621 </t>
  </si>
  <si>
    <t>15449</t>
  </si>
  <si>
    <t>1386</t>
  </si>
  <si>
    <t xml:space="preserve">11917 </t>
  </si>
  <si>
    <t xml:space="preserve">4488 </t>
  </si>
  <si>
    <t xml:space="preserve">11928 </t>
  </si>
  <si>
    <t xml:space="preserve">13580 </t>
  </si>
  <si>
    <t xml:space="preserve">4486 </t>
  </si>
  <si>
    <t>820</t>
  </si>
  <si>
    <t>31584</t>
  </si>
  <si>
    <t>32609</t>
  </si>
  <si>
    <t xml:space="preserve">12718 </t>
  </si>
  <si>
    <t>14402</t>
  </si>
  <si>
    <t>15709</t>
  </si>
  <si>
    <t>15714</t>
  </si>
  <si>
    <t xml:space="preserve">20728 </t>
  </si>
  <si>
    <t>0712-1/15</t>
  </si>
  <si>
    <t xml:space="preserve">21127 </t>
  </si>
  <si>
    <t xml:space="preserve">3525 </t>
  </si>
  <si>
    <t xml:space="preserve">11918 </t>
  </si>
  <si>
    <t>14538</t>
  </si>
  <si>
    <t>17166</t>
  </si>
  <si>
    <t>17104</t>
  </si>
  <si>
    <t xml:space="preserve">16416 </t>
  </si>
  <si>
    <t xml:space="preserve">16417 </t>
  </si>
  <si>
    <t>29341</t>
  </si>
  <si>
    <t>31020</t>
  </si>
  <si>
    <t xml:space="preserve">3295 </t>
  </si>
  <si>
    <t xml:space="preserve">4370 </t>
  </si>
  <si>
    <t>15031</t>
  </si>
  <si>
    <t>17103</t>
  </si>
  <si>
    <t>29345</t>
  </si>
  <si>
    <t>306</t>
  </si>
  <si>
    <t>1383</t>
  </si>
  <si>
    <t>30728</t>
  </si>
  <si>
    <t>31578</t>
  </si>
  <si>
    <t>32607</t>
  </si>
  <si>
    <t>49722</t>
  </si>
  <si>
    <t>17930</t>
  </si>
  <si>
    <t>50010</t>
  </si>
  <si>
    <t xml:space="preserve">3299 </t>
  </si>
  <si>
    <t xml:space="preserve">3863 </t>
  </si>
  <si>
    <t>13891</t>
  </si>
  <si>
    <t xml:space="preserve">13282 </t>
  </si>
  <si>
    <t>17106</t>
  </si>
  <si>
    <t xml:space="preserve"> 26.07.2016</t>
  </si>
  <si>
    <t xml:space="preserve">3867 </t>
  </si>
  <si>
    <t xml:space="preserve">11887 </t>
  </si>
  <si>
    <t>13576</t>
  </si>
  <si>
    <t>15712</t>
  </si>
  <si>
    <t>822</t>
  </si>
  <si>
    <t>29343</t>
  </si>
  <si>
    <t>31583</t>
  </si>
  <si>
    <t>32241</t>
  </si>
  <si>
    <t>32242</t>
  </si>
  <si>
    <t>32243</t>
  </si>
  <si>
    <t xml:space="preserve">13283 </t>
  </si>
  <si>
    <t xml:space="preserve">13284 </t>
  </si>
  <si>
    <t xml:space="preserve">13578 </t>
  </si>
  <si>
    <t>309</t>
  </si>
  <si>
    <t>926</t>
  </si>
  <si>
    <t>30.01.2018</t>
  </si>
  <si>
    <t>29335</t>
  </si>
  <si>
    <t>22137</t>
  </si>
  <si>
    <t>29348</t>
  </si>
  <si>
    <t>29344</t>
  </si>
  <si>
    <t>21883</t>
  </si>
  <si>
    <t>13500412 от 31.12.10г.</t>
  </si>
  <si>
    <t xml:space="preserve">11926 </t>
  </si>
  <si>
    <t>28879</t>
  </si>
  <si>
    <t>05.09.2016</t>
  </si>
  <si>
    <t xml:space="preserve">счет №141 </t>
  </si>
  <si>
    <t>01.05.2017</t>
  </si>
  <si>
    <t>24.02.2016</t>
  </si>
  <si>
    <t xml:space="preserve">счет №002  </t>
  </si>
  <si>
    <t xml:space="preserve">счет №005 </t>
  </si>
  <si>
    <t xml:space="preserve">счет №008 </t>
  </si>
  <si>
    <t>06.06.2016</t>
  </si>
  <si>
    <t xml:space="preserve">счет №009 </t>
  </si>
  <si>
    <t xml:space="preserve">счета: №017, 018, 019 </t>
  </si>
  <si>
    <t>27.09.2016</t>
  </si>
  <si>
    <t xml:space="preserve">счет №48298 </t>
  </si>
  <si>
    <t>30.03.2017</t>
  </si>
  <si>
    <t xml:space="preserve">счет№75775 </t>
  </si>
  <si>
    <t>01.08.2017</t>
  </si>
  <si>
    <t xml:space="preserve">Счет№109191 </t>
  </si>
  <si>
    <t>11.04.2016</t>
  </si>
  <si>
    <t>14.04.2017</t>
  </si>
  <si>
    <t>13.07.2016</t>
  </si>
  <si>
    <t>17.04.2017</t>
  </si>
  <si>
    <t xml:space="preserve">Счет№50  </t>
  </si>
  <si>
    <t>21.08.2017</t>
  </si>
  <si>
    <t>Счет№113</t>
  </si>
  <si>
    <t>26.01.2018</t>
  </si>
  <si>
    <t xml:space="preserve">счет №10 </t>
  </si>
  <si>
    <t xml:space="preserve">Счет№2622 </t>
  </si>
  <si>
    <t>21.02.2017</t>
  </si>
  <si>
    <t xml:space="preserve">счет№324 </t>
  </si>
  <si>
    <t>28.03.2017</t>
  </si>
  <si>
    <t xml:space="preserve">Счет№452 </t>
  </si>
  <si>
    <t>06.08.2017</t>
  </si>
  <si>
    <t xml:space="preserve">Счет№1756  </t>
  </si>
  <si>
    <t>10.10.2016</t>
  </si>
  <si>
    <t>04.10.2016,        10.10.2016</t>
  </si>
  <si>
    <t>23.01.2017</t>
  </si>
  <si>
    <t xml:space="preserve">счета №53,54  </t>
  </si>
  <si>
    <t>22.05.2017</t>
  </si>
  <si>
    <t xml:space="preserve">Счет№461 </t>
  </si>
  <si>
    <t>12.05.2016</t>
  </si>
  <si>
    <t xml:space="preserve">счет №47 </t>
  </si>
  <si>
    <t>09.01.2017</t>
  </si>
  <si>
    <t xml:space="preserve">дог.подряда №1 </t>
  </si>
  <si>
    <t xml:space="preserve">№1  </t>
  </si>
  <si>
    <t>01.06.2017</t>
  </si>
  <si>
    <t xml:space="preserve">Акт№5  </t>
  </si>
  <si>
    <t>03.07.2017</t>
  </si>
  <si>
    <t xml:space="preserve">акт выполненных работ№6  </t>
  </si>
  <si>
    <t xml:space="preserve">Счет№7  </t>
  </si>
  <si>
    <t>01.09.2017</t>
  </si>
  <si>
    <t xml:space="preserve">акт выполненных работ№8  </t>
  </si>
  <si>
    <t>13.10.2016</t>
  </si>
  <si>
    <t xml:space="preserve">счет №185  </t>
  </si>
  <si>
    <t>30.06.2017</t>
  </si>
  <si>
    <t xml:space="preserve">счет№54  </t>
  </si>
  <si>
    <t xml:space="preserve">Счет№К/6422  </t>
  </si>
  <si>
    <t>02.02.2016</t>
  </si>
  <si>
    <t>счет №Л-608  .</t>
  </si>
  <si>
    <t>14.10.2016</t>
  </si>
  <si>
    <t xml:space="preserve">счет №2674 </t>
  </si>
  <si>
    <t>05.12.2011</t>
  </si>
  <si>
    <t xml:space="preserve">001/Г  </t>
  </si>
  <si>
    <t>24.01.2017</t>
  </si>
  <si>
    <t xml:space="preserve">счет №7 </t>
  </si>
  <si>
    <t>31.03.2017</t>
  </si>
  <si>
    <t xml:space="preserve">Счет№611 </t>
  </si>
  <si>
    <t xml:space="preserve">Счет№1029  </t>
  </si>
  <si>
    <t xml:space="preserve">Счет№1803  </t>
  </si>
  <si>
    <t xml:space="preserve">счет №160510/01 </t>
  </si>
  <si>
    <t>29.03.2017</t>
  </si>
  <si>
    <t>11.01.2016</t>
  </si>
  <si>
    <t xml:space="preserve">МС-2016/1  </t>
  </si>
  <si>
    <t xml:space="preserve">Договор № МС-2016/1  </t>
  </si>
  <si>
    <t>10.02.2017</t>
  </si>
  <si>
    <t xml:space="preserve">счет№18  </t>
  </si>
  <si>
    <t xml:space="preserve">счет№17  </t>
  </si>
  <si>
    <t>13.03.2017</t>
  </si>
  <si>
    <t xml:space="preserve">Счет№32  </t>
  </si>
  <si>
    <t>11.05.2017</t>
  </si>
  <si>
    <t xml:space="preserve">Счет№71  </t>
  </si>
  <si>
    <t xml:space="preserve">Счет70  </t>
  </si>
  <si>
    <t xml:space="preserve">Счет№90  </t>
  </si>
  <si>
    <t>29.06.2017</t>
  </si>
  <si>
    <t xml:space="preserve">Счет№118 </t>
  </si>
  <si>
    <t>11.05.2016</t>
  </si>
  <si>
    <t xml:space="preserve">счет 5628 </t>
  </si>
  <si>
    <t>1/16</t>
  </si>
  <si>
    <t>18.05.2016</t>
  </si>
  <si>
    <t xml:space="preserve">счет №264  </t>
  </si>
  <si>
    <t>15.03.2016</t>
  </si>
  <si>
    <t>494/16</t>
  </si>
  <si>
    <t xml:space="preserve">512/16 </t>
  </si>
  <si>
    <t>25.07.2016</t>
  </si>
  <si>
    <t xml:space="preserve">516/16  </t>
  </si>
  <si>
    <t>16.12.2015</t>
  </si>
  <si>
    <t xml:space="preserve">471/15 </t>
  </si>
  <si>
    <t>05.10.2016</t>
  </si>
  <si>
    <t xml:space="preserve">№533/16  </t>
  </si>
  <si>
    <t>26.10.2016</t>
  </si>
  <si>
    <t xml:space="preserve">счет №681  </t>
  </si>
  <si>
    <t xml:space="preserve">счет №682  </t>
  </si>
  <si>
    <t xml:space="preserve">счет №686 </t>
  </si>
  <si>
    <t>27.03.2017</t>
  </si>
  <si>
    <t xml:space="preserve">Счет№720  </t>
  </si>
  <si>
    <t>24.04.2017</t>
  </si>
  <si>
    <t xml:space="preserve">Счет№732  </t>
  </si>
  <si>
    <t>09.01.2015</t>
  </si>
  <si>
    <t>1/15</t>
  </si>
  <si>
    <t>05.03.2015</t>
  </si>
  <si>
    <t>26.07.2016</t>
  </si>
  <si>
    <t xml:space="preserve">41/2016 </t>
  </si>
  <si>
    <t>09.09.2016</t>
  </si>
  <si>
    <t xml:space="preserve">52/2016  </t>
  </si>
  <si>
    <t xml:space="preserve">41/2016  </t>
  </si>
  <si>
    <t>04.08.2016</t>
  </si>
  <si>
    <t xml:space="preserve">№45/2016  </t>
  </si>
  <si>
    <t>26.06.2016</t>
  </si>
  <si>
    <t xml:space="preserve">№41/2016  </t>
  </si>
  <si>
    <t>15.12.2016</t>
  </si>
  <si>
    <t xml:space="preserve">счет №378,379 </t>
  </si>
  <si>
    <t>14.03.2017</t>
  </si>
  <si>
    <t xml:space="preserve">счет№98 </t>
  </si>
  <si>
    <t>21.09.2010</t>
  </si>
  <si>
    <t xml:space="preserve">156-10/МС  </t>
  </si>
  <si>
    <t xml:space="preserve">счет 84641  </t>
  </si>
  <si>
    <t xml:space="preserve">счет №84655  </t>
  </si>
  <si>
    <t>01.02.2017</t>
  </si>
  <si>
    <t xml:space="preserve">счет №4551-17  </t>
  </si>
  <si>
    <t xml:space="preserve">03-06-16ПМ  </t>
  </si>
  <si>
    <t xml:space="preserve">№03-08-16ПМ  </t>
  </si>
  <si>
    <t>23.11.2016</t>
  </si>
  <si>
    <t xml:space="preserve">счет №59  </t>
  </si>
  <si>
    <t xml:space="preserve">№23-11-16  </t>
  </si>
  <si>
    <t xml:space="preserve">Счет№86  </t>
  </si>
  <si>
    <t>21.03.2017</t>
  </si>
  <si>
    <t xml:space="preserve">Дог.21-03-17ПМ  </t>
  </si>
  <si>
    <t>23.06.2017</t>
  </si>
  <si>
    <t xml:space="preserve">Счет№91  </t>
  </si>
  <si>
    <t xml:space="preserve">Счет№93 </t>
  </si>
  <si>
    <t xml:space="preserve">Счет№96  </t>
  </si>
  <si>
    <t>30.08.2017</t>
  </si>
  <si>
    <t xml:space="preserve">Счет№102  </t>
  </si>
  <si>
    <t>14.02.2018</t>
  </si>
  <si>
    <t xml:space="preserve">Акт вып работ №130 </t>
  </si>
  <si>
    <t xml:space="preserve">Акт вып работ №131  </t>
  </si>
  <si>
    <t>27.04.2017</t>
  </si>
  <si>
    <t>08.06.2016</t>
  </si>
  <si>
    <t xml:space="preserve">50/0516-29/П/0 </t>
  </si>
  <si>
    <t>08.04.2016</t>
  </si>
  <si>
    <t xml:space="preserve">62/0316  </t>
  </si>
  <si>
    <t xml:space="preserve">счет№6 </t>
  </si>
  <si>
    <t xml:space="preserve">счет 84  </t>
  </si>
  <si>
    <t>14.09.2016</t>
  </si>
  <si>
    <t xml:space="preserve">счет 85  </t>
  </si>
  <si>
    <t>11.07.2017</t>
  </si>
  <si>
    <t xml:space="preserve">Счет№13  </t>
  </si>
  <si>
    <t xml:space="preserve">по дог.01/07 </t>
  </si>
  <si>
    <t>24.08.2017</t>
  </si>
  <si>
    <t xml:space="preserve">дог.№01/08 </t>
  </si>
  <si>
    <t xml:space="preserve">счет №g-1-05-00971  </t>
  </si>
  <si>
    <t xml:space="preserve">счет №364  </t>
  </si>
  <si>
    <t>29.05.2017</t>
  </si>
  <si>
    <t xml:space="preserve">Счет№497  </t>
  </si>
  <si>
    <t xml:space="preserve">Счет№70  </t>
  </si>
  <si>
    <t>08.08.2017</t>
  </si>
  <si>
    <t xml:space="preserve">Счет№719  </t>
  </si>
  <si>
    <t xml:space="preserve">Счет№775  </t>
  </si>
  <si>
    <t xml:space="preserve">Счет№718  </t>
  </si>
  <si>
    <t xml:space="preserve">Счет №986  </t>
  </si>
  <si>
    <t>28.11.2016</t>
  </si>
  <si>
    <t xml:space="preserve">№28-11-2016  </t>
  </si>
  <si>
    <t>07.12.2015</t>
  </si>
  <si>
    <t xml:space="preserve">0712-1/15  </t>
  </si>
  <si>
    <t>15.07.2016</t>
  </si>
  <si>
    <t xml:space="preserve">счет №ЭП15623  </t>
  </si>
  <si>
    <t xml:space="preserve">счет №13102047  </t>
  </si>
  <si>
    <t xml:space="preserve">счет №13149399  </t>
  </si>
  <si>
    <t>28.02.2017</t>
  </si>
  <si>
    <t xml:space="preserve">счет№14397558,14388759  </t>
  </si>
  <si>
    <t xml:space="preserve">Счет№14740305  </t>
  </si>
  <si>
    <t>29.03.2016</t>
  </si>
  <si>
    <t xml:space="preserve">счет №241  </t>
  </si>
  <si>
    <t xml:space="preserve">счет №802  </t>
  </si>
  <si>
    <t>21.10.2016</t>
  </si>
  <si>
    <t xml:space="preserve">счет №972  </t>
  </si>
  <si>
    <t xml:space="preserve">счет№86  </t>
  </si>
  <si>
    <t>17.10.2017</t>
  </si>
  <si>
    <t xml:space="preserve">счет №31  </t>
  </si>
  <si>
    <t>09.02.2017</t>
  </si>
  <si>
    <t xml:space="preserve">Счет№304  </t>
  </si>
  <si>
    <t>14.02.2017</t>
  </si>
  <si>
    <t xml:space="preserve">Счет№306  </t>
  </si>
  <si>
    <t>02.08.2017</t>
  </si>
  <si>
    <t xml:space="preserve">Счет№347  </t>
  </si>
  <si>
    <t>11.06.2016</t>
  </si>
  <si>
    <t xml:space="preserve">счет №24  </t>
  </si>
  <si>
    <t xml:space="preserve">Счет№10  </t>
  </si>
  <si>
    <t xml:space="preserve">Счет№8  </t>
  </si>
  <si>
    <t xml:space="preserve">Счет№9  </t>
  </si>
  <si>
    <t xml:space="preserve">УГК-17/07/2016  </t>
  </si>
  <si>
    <t>16-07/2016</t>
  </si>
  <si>
    <t xml:space="preserve">счет №25  </t>
  </si>
  <si>
    <t>27.02.2017</t>
  </si>
  <si>
    <t xml:space="preserve">счет№206  </t>
  </si>
  <si>
    <t>06.02.2017</t>
  </si>
  <si>
    <t xml:space="preserve">счет№65573  </t>
  </si>
  <si>
    <t>01.03.2017</t>
  </si>
  <si>
    <t xml:space="preserve">счет№69718  </t>
  </si>
  <si>
    <t xml:space="preserve">счет№304  </t>
  </si>
  <si>
    <t>05.04.2016</t>
  </si>
  <si>
    <t>18.03.2016</t>
  </si>
  <si>
    <t>29.12.2015</t>
  </si>
  <si>
    <t>10.08.2016</t>
  </si>
  <si>
    <t xml:space="preserve">счет AUF-00004261  </t>
  </si>
  <si>
    <t>16.11.2016</t>
  </si>
  <si>
    <t xml:space="preserve">Счет№125  </t>
  </si>
  <si>
    <t>01.04.2014</t>
  </si>
  <si>
    <t xml:space="preserve">МИХ/30элн-14  </t>
  </si>
  <si>
    <t xml:space="preserve">счет №ЭНЕЦГ16/668  </t>
  </si>
  <si>
    <t xml:space="preserve">Счет№СИ0062991  </t>
  </si>
  <si>
    <t>25.05.2017</t>
  </si>
  <si>
    <t xml:space="preserve">Счет№Си00081445  </t>
  </si>
  <si>
    <t>30.03.2016</t>
  </si>
  <si>
    <t xml:space="preserve">счет №2016 </t>
  </si>
  <si>
    <t>22.09.2011</t>
  </si>
  <si>
    <t xml:space="preserve">09/19-МС  </t>
  </si>
  <si>
    <t>04.05.2016</t>
  </si>
  <si>
    <t xml:space="preserve">счет №178  </t>
  </si>
  <si>
    <t>29.07.2015</t>
  </si>
  <si>
    <t>03.03.2016</t>
  </si>
  <si>
    <t xml:space="preserve">ДП_2015_002024  </t>
  </si>
  <si>
    <t xml:space="preserve">б/н  </t>
  </si>
  <si>
    <t>19.09.2016</t>
  </si>
  <si>
    <t xml:space="preserve">счет №4  </t>
  </si>
  <si>
    <t xml:space="preserve">№176  </t>
  </si>
  <si>
    <t>06.04.2017</t>
  </si>
  <si>
    <t xml:space="preserve">Счет№4  </t>
  </si>
  <si>
    <t>10.05.2017</t>
  </si>
  <si>
    <t xml:space="preserve">Счет№5 </t>
  </si>
  <si>
    <t>26.05.2017</t>
  </si>
  <si>
    <t xml:space="preserve">Счет№6  </t>
  </si>
  <si>
    <t>27.06.2017</t>
  </si>
  <si>
    <t>24.07.2017</t>
  </si>
  <si>
    <t xml:space="preserve">счет№504 </t>
  </si>
  <si>
    <t>01.06.2013</t>
  </si>
  <si>
    <t xml:space="preserve">024-ДП/ЗКР/13  </t>
  </si>
  <si>
    <t>10.04.2017</t>
  </si>
  <si>
    <t xml:space="preserve">Счет№26  </t>
  </si>
  <si>
    <t>22.08.2016</t>
  </si>
  <si>
    <t xml:space="preserve">счет №160559  </t>
  </si>
  <si>
    <t xml:space="preserve">счет-фактура №УТ-923  </t>
  </si>
  <si>
    <t>16.01.2017</t>
  </si>
  <si>
    <t xml:space="preserve">счет №СЧ-69959,69969  </t>
  </si>
  <si>
    <t xml:space="preserve">Счет№71412 </t>
  </si>
  <si>
    <t>18.04.2017</t>
  </si>
  <si>
    <t xml:space="preserve">Счет№72467  </t>
  </si>
  <si>
    <t xml:space="preserve">Счет№72075  </t>
  </si>
  <si>
    <t xml:space="preserve">Счет№73962  </t>
  </si>
  <si>
    <t>16.06.2017</t>
  </si>
  <si>
    <t xml:space="preserve">11/16-1  </t>
  </si>
  <si>
    <t>15.05.2014</t>
  </si>
  <si>
    <t xml:space="preserve">С-01-14 ОЕ  </t>
  </si>
  <si>
    <t xml:space="preserve">Д-3027/2016  </t>
  </si>
  <si>
    <t>15.06.2016</t>
  </si>
  <si>
    <t xml:space="preserve">счет №УТ-7928  </t>
  </si>
  <si>
    <t>01.02.2016</t>
  </si>
  <si>
    <t xml:space="preserve">Договор № 319 П  </t>
  </si>
  <si>
    <t xml:space="preserve">счет №КСРЕ1604012  </t>
  </si>
  <si>
    <t xml:space="preserve">счет №КСРЕ1604015  </t>
  </si>
  <si>
    <t>22.04.2016</t>
  </si>
  <si>
    <t xml:space="preserve">счету №63843619/1 </t>
  </si>
  <si>
    <t>11.01.2014</t>
  </si>
  <si>
    <t xml:space="preserve">019/14  </t>
  </si>
  <si>
    <t>15.12.2015.</t>
  </si>
  <si>
    <t>21.06.2016</t>
  </si>
  <si>
    <t xml:space="preserve">счет №1054 </t>
  </si>
  <si>
    <t>04.08.2015</t>
  </si>
  <si>
    <t xml:space="preserve">Договор поставки № ES/24/2015/S  </t>
  </si>
  <si>
    <t>20.06.2016</t>
  </si>
  <si>
    <t xml:space="preserve">счета№: 1813271 и 1812955  </t>
  </si>
  <si>
    <t>13.01.2010</t>
  </si>
  <si>
    <t xml:space="preserve">18/01-10А  </t>
  </si>
  <si>
    <t>20.08.2015</t>
  </si>
  <si>
    <t xml:space="preserve">Договор № 137  </t>
  </si>
  <si>
    <t xml:space="preserve">счет №4290 </t>
  </si>
  <si>
    <t xml:space="preserve">счет 1202  </t>
  </si>
  <si>
    <t xml:space="preserve">счет №8346  </t>
  </si>
  <si>
    <t xml:space="preserve">НДГС-ТОНАР-2015-1  </t>
  </si>
  <si>
    <t>15.09.2011</t>
  </si>
  <si>
    <t xml:space="preserve">№13  </t>
  </si>
  <si>
    <t xml:space="preserve">счет №1061 </t>
  </si>
  <si>
    <t>23.12.2015</t>
  </si>
  <si>
    <t xml:space="preserve">001-16  </t>
  </si>
  <si>
    <t>01.02.2015</t>
  </si>
  <si>
    <t xml:space="preserve">№4/НП  </t>
  </si>
  <si>
    <t xml:space="preserve">счет 269 </t>
  </si>
  <si>
    <t>27.10.2016</t>
  </si>
  <si>
    <t xml:space="preserve">счет №842  </t>
  </si>
  <si>
    <t>12.01.2016</t>
  </si>
  <si>
    <t xml:space="preserve">3-1/16/7  </t>
  </si>
  <si>
    <t xml:space="preserve">счет №0487/13  </t>
  </si>
  <si>
    <t>17.05.2016</t>
  </si>
  <si>
    <t xml:space="preserve">счет №СЧ1923576  </t>
  </si>
  <si>
    <t>04.04.2016</t>
  </si>
  <si>
    <t xml:space="preserve">счет №169 </t>
  </si>
  <si>
    <t>27.04.2016</t>
  </si>
  <si>
    <t xml:space="preserve">1057/16  </t>
  </si>
  <si>
    <t xml:space="preserve">1058/16  </t>
  </si>
  <si>
    <t>15.11.2016</t>
  </si>
  <si>
    <t xml:space="preserve">счет №151  </t>
  </si>
  <si>
    <t>10.06.2016</t>
  </si>
  <si>
    <t xml:space="preserve">счет 329 </t>
  </si>
  <si>
    <t>12.02.2016</t>
  </si>
  <si>
    <t xml:space="preserve">счет №477 </t>
  </si>
  <si>
    <t xml:space="preserve">счет №648 и 649  </t>
  </si>
  <si>
    <t>11.02.2016</t>
  </si>
  <si>
    <t xml:space="preserve">Договор № 11/02-16       </t>
  </si>
  <si>
    <t xml:space="preserve">счет №211883  </t>
  </si>
  <si>
    <t>16.03.2015</t>
  </si>
  <si>
    <t xml:space="preserve">FRI-0169  </t>
  </si>
  <si>
    <t xml:space="preserve">счет №996  </t>
  </si>
  <si>
    <t>25.11.2016</t>
  </si>
  <si>
    <t xml:space="preserve">счет №1665  </t>
  </si>
  <si>
    <t xml:space="preserve">счет №0519-1 </t>
  </si>
  <si>
    <t xml:space="preserve">счет №0922-1  </t>
  </si>
  <si>
    <t>09.02.2016</t>
  </si>
  <si>
    <t xml:space="preserve">счет №УТ000000238  </t>
  </si>
  <si>
    <t xml:space="preserve">счет 4304  </t>
  </si>
  <si>
    <t xml:space="preserve">счет №4382 </t>
  </si>
  <si>
    <t>20.01.2015</t>
  </si>
  <si>
    <t xml:space="preserve">01/15  </t>
  </si>
  <si>
    <t xml:space="preserve">счет №512  </t>
  </si>
  <si>
    <t>17.11.2016</t>
  </si>
  <si>
    <t xml:space="preserve">счет №160799 </t>
  </si>
  <si>
    <t>19.04.2017</t>
  </si>
  <si>
    <t xml:space="preserve">Счет№170282  </t>
  </si>
  <si>
    <t>03.06.2016</t>
  </si>
  <si>
    <t xml:space="preserve">03-06/41  </t>
  </si>
  <si>
    <t>28.09.2016</t>
  </si>
  <si>
    <t xml:space="preserve">счет №867  </t>
  </si>
  <si>
    <t>29.09.2014</t>
  </si>
  <si>
    <t xml:space="preserve">8-09/14 </t>
  </si>
  <si>
    <t>02.06.2016</t>
  </si>
  <si>
    <t xml:space="preserve">счет 113  </t>
  </si>
  <si>
    <t>31.08.2015</t>
  </si>
  <si>
    <t xml:space="preserve">МЗТ-03/16  </t>
  </si>
  <si>
    <t>17.06.2016</t>
  </si>
  <si>
    <t xml:space="preserve">счет 386  </t>
  </si>
  <si>
    <t xml:space="preserve">счет №386 </t>
  </si>
  <si>
    <t xml:space="preserve">3/16/7  </t>
  </si>
  <si>
    <t xml:space="preserve">счет №14626 </t>
  </si>
  <si>
    <t>14.06.2016</t>
  </si>
  <si>
    <t xml:space="preserve">счет №8805 </t>
  </si>
  <si>
    <t xml:space="preserve"> счет№2211  </t>
  </si>
  <si>
    <t xml:space="preserve">счет№45083223  </t>
  </si>
  <si>
    <t>расходы по з/п за июль 2011</t>
  </si>
  <si>
    <t>расходы по з/п за август 2011</t>
  </si>
  <si>
    <t>расходы по з/п за март 2012</t>
  </si>
  <si>
    <t>расходы по з/п за апрель 2012</t>
  </si>
  <si>
    <t>расходы по з/п за май 2012</t>
  </si>
  <si>
    <t>расходы по з/п за июнь 2012</t>
  </si>
  <si>
    <t>расходы по з/п за июль 2012</t>
  </si>
  <si>
    <t>расходы по з/п за август 2012</t>
  </si>
  <si>
    <t>расходы по з/п за сентябрь 2012</t>
  </si>
  <si>
    <t>расходы по з/п за октябрь 2012</t>
  </si>
  <si>
    <t>расходы по з/п за ноябрь 2012</t>
  </si>
  <si>
    <t>расходы по з/п за декабрь 2012</t>
  </si>
  <si>
    <t>расходы по з/п за январь 2013</t>
  </si>
  <si>
    <t>расходы по з/п за февраль 2013</t>
  </si>
  <si>
    <t>расходы по з/п за апрель 2013</t>
  </si>
  <si>
    <t>расходы по з/п за май 2013</t>
  </si>
  <si>
    <t>расходы по з/п за июнь 2013</t>
  </si>
  <si>
    <t>расходы по з/п за июль 2013</t>
  </si>
  <si>
    <t>расходы по з/п за август 2013</t>
  </si>
  <si>
    <t>расходы по з/п за сентябрь 2013</t>
  </si>
  <si>
    <t>расходы по з/п за октябрь 2013</t>
  </si>
  <si>
    <t>расходы по з/п за ноябрь 2013</t>
  </si>
  <si>
    <t>расходы по з/п за декабрь 2013</t>
  </si>
  <si>
    <t>расходы по з/п за январь 2014</t>
  </si>
  <si>
    <t>расходы по з/п за февраль 2014</t>
  </si>
  <si>
    <t>расходы по з/п за март 2014</t>
  </si>
  <si>
    <t>расходы по з/п за апрель 2014</t>
  </si>
  <si>
    <t>расходы по з/п за май 2014</t>
  </si>
  <si>
    <t>расходы по з/п за июнь 2014</t>
  </si>
  <si>
    <t>расходы по з/п за июль 2014</t>
  </si>
  <si>
    <t>расходы по з/п за август 2014</t>
  </si>
  <si>
    <t>расходы по з/п за сентябрь 2014</t>
  </si>
  <si>
    <t>расходы по з/п за октябрь 2014</t>
  </si>
  <si>
    <t>расходы по з/п за ноябрь 2014</t>
  </si>
  <si>
    <t>расходы по з/п за декабрь 2014</t>
  </si>
  <si>
    <t>расходы по з/п за январь 2015</t>
  </si>
  <si>
    <t>расходы по з/п за февраль 2015</t>
  </si>
  <si>
    <t>расходы по з/п за март 2015</t>
  </si>
  <si>
    <t>расходы по з/п за апрель 2015</t>
  </si>
  <si>
    <t>расходы по з/п за май 2015</t>
  </si>
  <si>
    <t>расходы по з/п за июнь 2015</t>
  </si>
  <si>
    <t>937</t>
  </si>
  <si>
    <t>1106</t>
  </si>
  <si>
    <t>441</t>
  </si>
  <si>
    <t>561</t>
  </si>
  <si>
    <t>745</t>
  </si>
  <si>
    <t>917</t>
  </si>
  <si>
    <t>1071</t>
  </si>
  <si>
    <t>1267</t>
  </si>
  <si>
    <t>1447</t>
  </si>
  <si>
    <t>1662</t>
  </si>
  <si>
    <t>1863</t>
  </si>
  <si>
    <t>49</t>
  </si>
  <si>
    <t>186</t>
  </si>
  <si>
    <t>311</t>
  </si>
  <si>
    <t>3122</t>
  </si>
  <si>
    <t>4013</t>
  </si>
  <si>
    <t>4745</t>
  </si>
  <si>
    <t>5671</t>
  </si>
  <si>
    <t>6632</t>
  </si>
  <si>
    <t>7544</t>
  </si>
  <si>
    <t>8520</t>
  </si>
  <si>
    <t>9391</t>
  </si>
  <si>
    <t>16</t>
  </si>
  <si>
    <t>1670</t>
  </si>
  <si>
    <t>2576</t>
  </si>
  <si>
    <t>3573</t>
  </si>
  <si>
    <t>4616</t>
  </si>
  <si>
    <t>5565</t>
  </si>
  <si>
    <t>7075</t>
  </si>
  <si>
    <t>7583</t>
  </si>
  <si>
    <t>8640</t>
  </si>
  <si>
    <t>9635</t>
  </si>
  <si>
    <t>15350</t>
  </si>
  <si>
    <t>25</t>
  </si>
  <si>
    <t>880</t>
  </si>
  <si>
    <t>1713</t>
  </si>
  <si>
    <t>2703</t>
  </si>
  <si>
    <t>3636</t>
  </si>
  <si>
    <t>4408</t>
  </si>
  <si>
    <t>5430</t>
  </si>
  <si>
    <t>ООО "Ревитал"</t>
  </si>
  <si>
    <t>ООО "Навигатор-МВС"</t>
  </si>
  <si>
    <t>ООО "Центавра"</t>
  </si>
  <si>
    <t>ООО "ТрубНик"</t>
  </si>
  <si>
    <t>ООО "Кирелис"</t>
  </si>
  <si>
    <t>ООО НПП "Краски для Вас"</t>
  </si>
  <si>
    <t>ООО "СтройМарт"</t>
  </si>
  <si>
    <t>ООО "Торговая компания "БИКРА"</t>
  </si>
  <si>
    <t>ООО "ЦСТ "Сангрин"</t>
  </si>
  <si>
    <t>ООО "Мега Торг"</t>
  </si>
  <si>
    <t>ООО " Стройторгсервис"</t>
  </si>
  <si>
    <t xml:space="preserve"> ИП  Рахимгараев Сергей Сергеевич</t>
  </si>
  <si>
    <t>ООО "20х20"</t>
  </si>
  <si>
    <t>ООО "Депо"</t>
  </si>
  <si>
    <t>ООО "ПроектПром"</t>
  </si>
  <si>
    <t>ООО "ТД Авангард"</t>
  </si>
  <si>
    <t>ООО "ЕвроСтрой"</t>
  </si>
  <si>
    <t>ООО "Кондор"</t>
  </si>
  <si>
    <t>ООО "Мелькарт"</t>
  </si>
  <si>
    <t>ООО "Дедал"</t>
  </si>
  <si>
    <t xml:space="preserve"> ООО  "Альянсторг"</t>
  </si>
  <si>
    <t>ООО "Интехмет"</t>
  </si>
  <si>
    <t>ООО "МСЕТКА"</t>
  </si>
  <si>
    <t>ЗАО "Компания Тройка Сталь"</t>
  </si>
  <si>
    <t>ООО "ММЗ СЕТ"</t>
  </si>
  <si>
    <t>ООО "ТК Сотрудничество"</t>
  </si>
  <si>
    <t>ИП Живцов Олег Геннадьевич</t>
  </si>
  <si>
    <t>ООО "Меридиан"</t>
  </si>
  <si>
    <t xml:space="preserve"> ООО "СтройАвтоСбыт"</t>
  </si>
  <si>
    <t>ООО "Макс Трейд"</t>
  </si>
  <si>
    <t>ООО фирма "КАРБОРОС"</t>
  </si>
  <si>
    <t xml:space="preserve">ООО фирма "КАРБОРОС" </t>
  </si>
  <si>
    <t>ООО "Труб-Маркет"</t>
  </si>
  <si>
    <t>ЗАО "КРОВЛЯ ОПТТОРГ"</t>
  </si>
  <si>
    <t>ИП Бунаков Алексей Владимирович</t>
  </si>
  <si>
    <t>ООО "Стройпоставка"</t>
  </si>
  <si>
    <t>ООО "ВЕГА"</t>
  </si>
  <si>
    <t>ООО "Обстройтех"</t>
  </si>
  <si>
    <t xml:space="preserve">ОАО "342 Механический завод" </t>
  </si>
  <si>
    <t>ООО "Торговый Дом ЖБИ"</t>
  </si>
  <si>
    <t xml:space="preserve">ООО "Мастерстрой" </t>
  </si>
  <si>
    <t>ООО "Торговый дом Илевники"</t>
  </si>
  <si>
    <t>ООО "Аведа Трейд"</t>
  </si>
  <si>
    <t>ООО "Цементный проект"</t>
  </si>
  <si>
    <t>ИП "Хапко Петр Владимирович"</t>
  </si>
  <si>
    <t>ООО "Фореста"</t>
  </si>
  <si>
    <t>ООО "ОгнеупорЭнергоХолдинг"</t>
  </si>
  <si>
    <t>ООО "Топаз"</t>
  </si>
  <si>
    <t>ИП Богатков Вячеслав Алексеевич</t>
  </si>
  <si>
    <t>ООО "Недраинвест"</t>
  </si>
  <si>
    <t>ООО "Спецтех Авто"</t>
  </si>
  <si>
    <t>ООО "Доломит-Транс"</t>
  </si>
  <si>
    <t>ООО "РМС"</t>
  </si>
  <si>
    <t>ООО "Александровская Нерудная Компания"</t>
  </si>
  <si>
    <t>ООО "Компания ЮниСтальПром"</t>
  </si>
  <si>
    <t>ООО "Краско"</t>
  </si>
  <si>
    <t>ООО "Ассортимент Бетон"</t>
  </si>
  <si>
    <t>ООО "ЭМЗ Промэнерго"</t>
  </si>
  <si>
    <t>ООО "Бетонные технологии"</t>
  </si>
  <si>
    <t>ООО"Торговый Дом ЛЭЗ"</t>
  </si>
  <si>
    <t>ООО"ТД ЛЭЗ"</t>
  </si>
  <si>
    <t>ООО "ТД ЛЭЗ"</t>
  </si>
  <si>
    <t>ООО "Резинотехсервис"</t>
  </si>
  <si>
    <t>ООО Производственно-коммерческая фирма "ДиПОС"</t>
  </si>
  <si>
    <t>ООО "Производственно-коммерческая фирма "ДиПОС"</t>
  </si>
  <si>
    <t>ООО"Бина Кемикал"</t>
  </si>
  <si>
    <t>ООО "Бина Кемикал"</t>
  </si>
  <si>
    <t>ООО "ПК "Мастер Сити-2"</t>
  </si>
  <si>
    <t>ООО "Цемент-Сервис"</t>
  </si>
  <si>
    <t>ЗАО "Промарматура-ХХI век"</t>
  </si>
  <si>
    <t>ООО "Стройторг+"</t>
  </si>
  <si>
    <t>ООО "МИР ХОМУТОВ"</t>
  </si>
  <si>
    <t>ИП Крылков Юрий Алексеевич</t>
  </si>
  <si>
    <t>ООО "Интерметиз"</t>
  </si>
  <si>
    <t xml:space="preserve">ИП Лапотков Дмитрий Анатольевич  </t>
  </si>
  <si>
    <t>ИП Лапотков Дмитрий Анатольевич</t>
  </si>
  <si>
    <t xml:space="preserve">ИП Лапотков Дмитрий Анатольевич </t>
  </si>
  <si>
    <t>ООО "МЕТАЛЛ СЕТ"</t>
  </si>
  <si>
    <t xml:space="preserve">ОАО "Металлургический завод "Электросталь" </t>
  </si>
  <si>
    <t>ЗАО "АЛЬП ЭМАЛЬ"</t>
  </si>
  <si>
    <t>ООО "Фирма Балком"</t>
  </si>
  <si>
    <t>ООО "Керамзит-Р"</t>
  </si>
  <si>
    <t>31.05.2013</t>
  </si>
  <si>
    <t>13.06.2013</t>
  </si>
  <si>
    <t>17.06.2013</t>
  </si>
  <si>
    <t>28.06.2013</t>
  </si>
  <si>
    <t>02.07.2013</t>
  </si>
  <si>
    <t>08.07.2013</t>
  </si>
  <si>
    <t>11.07.2013</t>
  </si>
  <si>
    <t>17.07.2013</t>
  </si>
  <si>
    <t>18.07.2013</t>
  </si>
  <si>
    <t>07.08.2013</t>
  </si>
  <si>
    <t>13.08.2013</t>
  </si>
  <si>
    <t>28.08.2013</t>
  </si>
  <si>
    <t>11.09.2013</t>
  </si>
  <si>
    <t>30.09.2013</t>
  </si>
  <si>
    <t>15.10.2013</t>
  </si>
  <si>
    <t>29.11.2013</t>
  </si>
  <si>
    <t>04.12.2013</t>
  </si>
  <si>
    <t>05.12.2013</t>
  </si>
  <si>
    <t>10.12.2013</t>
  </si>
  <si>
    <t>17.12.2013</t>
  </si>
  <si>
    <t>25.12.2013</t>
  </si>
  <si>
    <t>26.12.2013</t>
  </si>
  <si>
    <t>03.04.2014</t>
  </si>
  <si>
    <t>10.04.2014</t>
  </si>
  <si>
    <t>04.04.2014</t>
  </si>
  <si>
    <t>08.04.2014</t>
  </si>
  <si>
    <t>15.04.2014</t>
  </si>
  <si>
    <t>22.04.2014</t>
  </si>
  <si>
    <t>28.04.2014</t>
  </si>
  <si>
    <t>08.05.2014</t>
  </si>
  <si>
    <t>12.05.2014</t>
  </si>
  <si>
    <t>14.05.2014</t>
  </si>
  <si>
    <t>27.05.2014</t>
  </si>
  <si>
    <t>28.05.2014</t>
  </si>
  <si>
    <t>03.06.2014</t>
  </si>
  <si>
    <t>04.06.2014</t>
  </si>
  <si>
    <t>11.06.2014</t>
  </si>
  <si>
    <t>18.06.2014</t>
  </si>
  <si>
    <t>24.06.2014</t>
  </si>
  <si>
    <t>27.06.2014</t>
  </si>
  <si>
    <t>01.07.2014</t>
  </si>
  <si>
    <t>04.07.2014</t>
  </si>
  <si>
    <t>10.07.2014</t>
  </si>
  <si>
    <t>16.07.2014</t>
  </si>
  <si>
    <t>22.07.2014</t>
  </si>
  <si>
    <t>24.07.2014</t>
  </si>
  <si>
    <t>29.07.2014</t>
  </si>
  <si>
    <t>30.07.2014</t>
  </si>
  <si>
    <t>04.08.2014</t>
  </si>
  <si>
    <t>12.08.2014</t>
  </si>
  <si>
    <t>19.08.2014</t>
  </si>
  <si>
    <t>26.08.2014</t>
  </si>
  <si>
    <t>29.08.2014</t>
  </si>
  <si>
    <t>02.09.2014</t>
  </si>
  <si>
    <t>04.09.2014</t>
  </si>
  <si>
    <t>08.09.2014</t>
  </si>
  <si>
    <t>09.09.2014</t>
  </si>
  <si>
    <t>10.09.2014</t>
  </si>
  <si>
    <t>16.09.2014</t>
  </si>
  <si>
    <t>17.09.2014</t>
  </si>
  <si>
    <t>18.09.2014</t>
  </si>
  <si>
    <t>19.09.2014</t>
  </si>
  <si>
    <t>22.09.2014</t>
  </si>
  <si>
    <t>23.09.2014</t>
  </si>
  <si>
    <t>30.09.2014</t>
  </si>
  <si>
    <t>01.10.2014</t>
  </si>
  <si>
    <t>08.10.2014</t>
  </si>
  <si>
    <t>09.10.2014</t>
  </si>
  <si>
    <t>10.10.2014</t>
  </si>
  <si>
    <t>13.10.2014</t>
  </si>
  <si>
    <t>15.10.2014</t>
  </si>
  <si>
    <t>22.10.2014</t>
  </si>
  <si>
    <t>31.10.2014</t>
  </si>
  <si>
    <t>11.11.2014</t>
  </si>
  <si>
    <t>19.11.2014</t>
  </si>
  <si>
    <t>02.12.2014</t>
  </si>
  <si>
    <t>19.12.2014</t>
  </si>
  <si>
    <t>04.02.2015</t>
  </si>
  <si>
    <t>10.02.2015</t>
  </si>
  <si>
    <t>11.03.2015</t>
  </si>
  <si>
    <t>12.03.2015</t>
  </si>
  <si>
    <t>17.03.2015</t>
  </si>
  <si>
    <t>07.04.2015</t>
  </si>
  <si>
    <t>09.04.2015</t>
  </si>
  <si>
    <t>13.04.2015</t>
  </si>
  <si>
    <t>14.04.2015</t>
  </si>
  <si>
    <t>15.04.2015</t>
  </si>
  <si>
    <t>16.04.2015</t>
  </si>
  <si>
    <t>17.04.2015</t>
  </si>
  <si>
    <t>12.05.2015</t>
  </si>
  <si>
    <t>21.05.2015</t>
  </si>
  <si>
    <t>27.05.2015</t>
  </si>
  <si>
    <t>03.06.2015</t>
  </si>
  <si>
    <t>16.06.2015</t>
  </si>
  <si>
    <t>18.04.2014</t>
  </si>
  <si>
    <t>13.05.2014</t>
  </si>
  <si>
    <t>30.05.2014</t>
  </si>
  <si>
    <t>25.08.2014</t>
  </si>
  <si>
    <t>02.10.2014</t>
  </si>
  <si>
    <t>05.02.2015</t>
  </si>
  <si>
    <t>10.04.2015</t>
  </si>
  <si>
    <t>22.04.2015</t>
  </si>
  <si>
    <t>15.12.2014</t>
  </si>
  <si>
    <t>24.12.2014</t>
  </si>
  <si>
    <t>18.11.2014</t>
  </si>
  <si>
    <t>06.08.2014</t>
  </si>
  <si>
    <t>10.11.2014</t>
  </si>
  <si>
    <t>27.11.2014</t>
  </si>
  <si>
    <t>04.06.2015</t>
  </si>
  <si>
    <t>17.10.2014</t>
  </si>
  <si>
    <t>05.11.2014</t>
  </si>
  <si>
    <t>23.04.2015</t>
  </si>
  <si>
    <t>28.04.2015</t>
  </si>
  <si>
    <t>05.05.2015</t>
  </si>
  <si>
    <t>25.12.2014</t>
  </si>
  <si>
    <t>02.02.2015</t>
  </si>
  <si>
    <t>16.02.2015</t>
  </si>
  <si>
    <t>18.02.2015</t>
  </si>
  <si>
    <t>20.02.2015</t>
  </si>
  <si>
    <t>26.02.2015</t>
  </si>
  <si>
    <t>02.03.2015</t>
  </si>
  <si>
    <t>14.08.2014</t>
  </si>
  <si>
    <t>23.05.2014</t>
  </si>
  <si>
    <t>30.06.2014</t>
  </si>
  <si>
    <t>26.05.2014</t>
  </si>
  <si>
    <t>17.07.2014</t>
  </si>
  <si>
    <t>11.08.2014</t>
  </si>
  <si>
    <t>26.06.2014</t>
  </si>
  <si>
    <t>18.03.2014</t>
  </si>
  <si>
    <t>20.03.2014</t>
  </si>
  <si>
    <t>13.12.2013</t>
  </si>
  <si>
    <t>27.12.2013</t>
  </si>
  <si>
    <t>23.04.2014</t>
  </si>
  <si>
    <t>08.07.2014</t>
  </si>
  <si>
    <t>20.05.2015</t>
  </si>
  <si>
    <t>31.01.2014</t>
  </si>
  <si>
    <t>22.11.2013</t>
  </si>
  <si>
    <t>08.11.2013</t>
  </si>
  <si>
    <t>11.11.2013</t>
  </si>
  <si>
    <t>25.10.2013</t>
  </si>
  <si>
    <t>15.01.2013</t>
  </si>
  <si>
    <t>22.01.2013</t>
  </si>
  <si>
    <t>29.01.2013</t>
  </si>
  <si>
    <t>05.02.2013</t>
  </si>
  <si>
    <t>12.02.2013</t>
  </si>
  <si>
    <t>20.02.2013</t>
  </si>
  <si>
    <t>28.02.2013</t>
  </si>
  <si>
    <t>12.03.2013</t>
  </si>
  <si>
    <t>19.03.2013</t>
  </si>
  <si>
    <t>26.03.2013</t>
  </si>
  <si>
    <t>03.04.2013</t>
  </si>
  <si>
    <t>14.05.2013</t>
  </si>
  <si>
    <t>04.06.2013</t>
  </si>
  <si>
    <t>19.08.2013</t>
  </si>
  <si>
    <t>26.09.2013</t>
  </si>
  <si>
    <t>18.11.2013</t>
  </si>
  <si>
    <t>12.02.2014</t>
  </si>
  <si>
    <t>29.05.2013</t>
  </si>
  <si>
    <t>18.09.2013</t>
  </si>
  <si>
    <t>20.04.2015</t>
  </si>
  <si>
    <t>05.09.2013</t>
  </si>
  <si>
    <t>05.11.2013</t>
  </si>
  <si>
    <t>30.08.2013</t>
  </si>
  <si>
    <t>03.02.2015</t>
  </si>
  <si>
    <t>29.08.2013</t>
  </si>
  <si>
    <t>04.09.2013</t>
  </si>
  <si>
    <t>09.08.2013</t>
  </si>
  <si>
    <t>31.07.2013</t>
  </si>
  <si>
    <t>10.02.2014</t>
  </si>
  <si>
    <t>18.04.2013</t>
  </si>
  <si>
    <t>14.03.2013</t>
  </si>
  <si>
    <t>18.03.2013</t>
  </si>
  <si>
    <t>12.07.2013</t>
  </si>
  <si>
    <t>27.08.2013</t>
  </si>
  <si>
    <t>08.10.2013</t>
  </si>
  <si>
    <t>05.08.2014</t>
  </si>
  <si>
    <t>03.09.2014</t>
  </si>
  <si>
    <t>24.10.2014</t>
  </si>
  <si>
    <t>16.12.2014</t>
  </si>
  <si>
    <t>05.04.2013</t>
  </si>
  <si>
    <t>24.04.2013</t>
  </si>
  <si>
    <t>08.05.2013</t>
  </si>
  <si>
    <t>30.05.2013</t>
  </si>
  <si>
    <t>21.06.2013</t>
  </si>
  <si>
    <t>10.07.2013</t>
  </si>
  <si>
    <t>26.07.2013</t>
  </si>
  <si>
    <t>15.08.2013</t>
  </si>
  <si>
    <t>24.09.2013</t>
  </si>
  <si>
    <t>27.09.2013</t>
  </si>
  <si>
    <t>07.10.2013</t>
  </si>
  <si>
    <t>18.10.2013</t>
  </si>
  <si>
    <t>21.10.2013</t>
  </si>
  <si>
    <t>22.10.2013</t>
  </si>
  <si>
    <t>23.10.2013</t>
  </si>
  <si>
    <t>28.10.2013</t>
  </si>
  <si>
    <t>06.11.2013</t>
  </si>
  <si>
    <t>12.11.2013</t>
  </si>
  <si>
    <t>19.11.2013</t>
  </si>
  <si>
    <t>20.11.2013</t>
  </si>
  <si>
    <t>20.12.2013</t>
  </si>
  <si>
    <t>06.03.2013</t>
  </si>
  <si>
    <t>11.01.2013</t>
  </si>
  <si>
    <t>21.01.2013</t>
  </si>
  <si>
    <t>17.04.2013</t>
  </si>
  <si>
    <t>22.04.2013</t>
  </si>
  <si>
    <t>30.04.2015</t>
  </si>
  <si>
    <t>24.05.2013</t>
  </si>
  <si>
    <t>27.05.2013</t>
  </si>
  <si>
    <t>21.08.2013</t>
  </si>
  <si>
    <t>24.06.2013</t>
  </si>
  <si>
    <t>25.06.2013</t>
  </si>
  <si>
    <t>23.12.2013</t>
  </si>
  <si>
    <t>15.01.2014</t>
  </si>
  <si>
    <t>28.02.2014</t>
  </si>
  <si>
    <t>11.04.2014</t>
  </si>
  <si>
    <t>29.01.2015</t>
  </si>
  <si>
    <t>04.07.2013</t>
  </si>
  <si>
    <t>26.04.2013</t>
  </si>
  <si>
    <t>22.05.2013</t>
  </si>
  <si>
    <t>11.10.2013</t>
  </si>
  <si>
    <t>28.01.2014</t>
  </si>
  <si>
    <t>07.10.2014</t>
  </si>
  <si>
    <t>25.06.2014</t>
  </si>
  <si>
    <t>08.02.2013</t>
  </si>
  <si>
    <t>27.03.2013</t>
  </si>
  <si>
    <t>19.07.2013</t>
  </si>
  <si>
    <t>09.12.2013</t>
  </si>
  <si>
    <t>19.12.2013</t>
  </si>
  <si>
    <t>24.12.2013</t>
  </si>
  <si>
    <t>16.01.2014</t>
  </si>
  <si>
    <t>14.11.2014</t>
  </si>
  <si>
    <t>06.06.2013</t>
  </si>
  <si>
    <t>23.07.2013</t>
  </si>
  <si>
    <t>29.10.2013</t>
  </si>
  <si>
    <t>24.03.2014</t>
  </si>
  <si>
    <t>07.07.2014</t>
  </si>
  <si>
    <t>15.07.2014</t>
  </si>
  <si>
    <t>23.07.2014</t>
  </si>
  <si>
    <t>01.04.2013</t>
  </si>
  <si>
    <t>03.06.2013</t>
  </si>
  <si>
    <t>03.09.2013</t>
  </si>
  <si>
    <t>15.11.2013</t>
  </si>
  <si>
    <t>21.11.2013</t>
  </si>
  <si>
    <t>16.12.2013</t>
  </si>
  <si>
    <t>18.12.2013</t>
  </si>
  <si>
    <t>07.02.2014</t>
  </si>
  <si>
    <t>21.02.2014</t>
  </si>
  <si>
    <t>16.05.2014</t>
  </si>
  <si>
    <t>27.08.2014</t>
  </si>
  <si>
    <t>11.09.2014</t>
  </si>
  <si>
    <t>20.10.2014</t>
  </si>
  <si>
    <t>28.10.2014</t>
  </si>
  <si>
    <t>21.02.2013</t>
  </si>
  <si>
    <t>22.02.2013</t>
  </si>
  <si>
    <t>11.04.2013</t>
  </si>
  <si>
    <t>16.04.2013</t>
  </si>
  <si>
    <t>23.01.2014</t>
  </si>
  <si>
    <t>31.03.2014</t>
  </si>
  <si>
    <t>27.01.2015</t>
  </si>
  <si>
    <t>06.04.2015</t>
  </si>
  <si>
    <t>13.05.2013</t>
  </si>
  <si>
    <t>24.07.2013</t>
  </si>
  <si>
    <t>02.08.2013</t>
  </si>
  <si>
    <t>27.02.2014</t>
  </si>
  <si>
    <t>28.03.2013</t>
  </si>
  <si>
    <t>14.08.2013</t>
  </si>
  <si>
    <t>14.02.2014</t>
  </si>
  <si>
    <t>26.01.2015</t>
  </si>
  <si>
    <t>06.02.2013</t>
  </si>
  <si>
    <t>02.04.2013</t>
  </si>
  <si>
    <t>07.06.2013</t>
  </si>
  <si>
    <t>14.06.2013</t>
  </si>
  <si>
    <t>16.08.2013</t>
  </si>
  <si>
    <t>31.10.2013</t>
  </si>
  <si>
    <t>28.05.2013</t>
  </si>
  <si>
    <t>11.06.2013</t>
  </si>
  <si>
    <t>20.06.2013</t>
  </si>
  <si>
    <t>22.08.2013</t>
  </si>
  <si>
    <t>14.10.2013</t>
  </si>
  <si>
    <t>09.01.2013</t>
  </si>
  <si>
    <t>23.01.2013</t>
  </si>
  <si>
    <t>31.01.2013</t>
  </si>
  <si>
    <t>15.02.2013</t>
  </si>
  <si>
    <t>01.03.2013</t>
  </si>
  <si>
    <t>11.03.2013</t>
  </si>
  <si>
    <t>08.04.2013</t>
  </si>
  <si>
    <t>12.04.2013</t>
  </si>
  <si>
    <t>25.04.2013</t>
  </si>
  <si>
    <t>07.05.2013</t>
  </si>
  <si>
    <t>16.05.2013</t>
  </si>
  <si>
    <t>17.05.2013</t>
  </si>
  <si>
    <t>26.11.2013</t>
  </si>
  <si>
    <t>04.03.2015</t>
  </si>
  <si>
    <t>19.02.2015</t>
  </si>
  <si>
    <t>13.05.2015</t>
  </si>
  <si>
    <t>20.12.12.</t>
  </si>
  <si>
    <t xml:space="preserve">Оплата за фосфогипс по договору
</t>
  </si>
  <si>
    <t xml:space="preserve">Оплата за фосфогипс по договору.
</t>
  </si>
  <si>
    <t xml:space="preserve">Оплата за цемент по счету №ЭНЕЦГ 14/452 от 21.07.14г.
</t>
  </si>
  <si>
    <t xml:space="preserve">Оплата за цемент по счету №ЭНЕЦГ 14/458 от 28.07.14г.
</t>
  </si>
  <si>
    <t xml:space="preserve">Оплата за цемент по счету №ЭНЕЦГ 14/464 от 01.08.14г.
</t>
  </si>
  <si>
    <t xml:space="preserve">Оплата за цемент по счету №ЭНЕЦГ 14/471 от 11.08.14г.
</t>
  </si>
  <si>
    <t xml:space="preserve">Оплата за цемент по счету №14/478 от 15.08.14г.
</t>
  </si>
  <si>
    <t xml:space="preserve">Оплата за цемент по счету №ЭНЕЦГ 14/499 от 25.08.14г.
</t>
  </si>
  <si>
    <t xml:space="preserve">Оплата за цемент по счету №ЭНЕЦГ 14/506 от 28.08.14г.
</t>
  </si>
  <si>
    <t xml:space="preserve">Оплата за цемент по счету №ЭНЕЦГ 14/508 от 01.09.2014г.
</t>
  </si>
  <si>
    <t xml:space="preserve">Оплата за цемент по счету №ЭНЕЦГ 14/508 от 01.09.14г.
</t>
  </si>
  <si>
    <t xml:space="preserve">Оплата за цемент по счету №ЭНЕЦГ 14/521 от 05.09.14г.
</t>
  </si>
  <si>
    <t xml:space="preserve">Оплата за цемент по счету №ЭНЕЦГ 14/525 от 09.09.14г.
</t>
  </si>
  <si>
    <t xml:space="preserve">Оплата за цемент по счету №ЭНЕЦГ 14/535 от 15.09.2014г. по договору №МИХ/30элн-14 от 01.04.2014г.
</t>
  </si>
  <si>
    <t xml:space="preserve">Оплата за цемент по счету №ЭНЕЦГ 14/535 от 15.09.2014г.
</t>
  </si>
  <si>
    <t xml:space="preserve">Оплата за цемент по счету №ЭНЕЦГ 14/547 от 17.09.2014г.
</t>
  </si>
  <si>
    <t xml:space="preserve">Оплата за цемент по счету №ЭНЕЦГ 14/554 от 22.09.14г.
</t>
  </si>
  <si>
    <t xml:space="preserve">Оплата за цемент по счету №Энецг 14/554 от 22.09.14г.
</t>
  </si>
  <si>
    <t xml:space="preserve">Оплата за цемент по счету №ЭНЕЦГ 14/567 от 26.09.14г.
</t>
  </si>
  <si>
    <t>Оплата за цемент по счету №ЭНЕЦГ 14/577 от 30.09.14г.
Сумма 188245-40
В т.ч. НДС(18%) 28715-40</t>
  </si>
  <si>
    <t xml:space="preserve">Оплата за цемент по счету №ЭНЕЦГ 14/595 от 17.10.14г.
</t>
  </si>
  <si>
    <t xml:space="preserve">Оплата за цемент по счету №ЭЕКЦГ 14/595 от 07.10.14г.
</t>
  </si>
  <si>
    <t xml:space="preserve">Оплата за цемент по счету №ЭНЕЦГ 14/601 от 10.10.14г.
</t>
  </si>
  <si>
    <t xml:space="preserve">Оплата за цемент по счету №ЭНЕЦГ 14/609 от 14.10.14г.
</t>
  </si>
  <si>
    <t xml:space="preserve">Оплата за цемент по счету №ЭНЕЦГ 14/628 от 21.10.14г.
</t>
  </si>
  <si>
    <t xml:space="preserve">Оплата за цемент по счету №ЭНЕЦГ 14/628  от 21.10.14г.
</t>
  </si>
  <si>
    <t xml:space="preserve">Оплата за цемент по счету №ЭНЕЦГ 14/657 от 10.11.14г.
</t>
  </si>
  <si>
    <t xml:space="preserve">Оплата за цемент по счету №ЭНЕЦГ 14/716 от 18.12.14г.
</t>
  </si>
  <si>
    <t xml:space="preserve">Оплата за цемент по счету №ЭНЕЦГ 14/731 от 03.02.15г.
</t>
  </si>
  <si>
    <t xml:space="preserve">Оплата за цемент по ТН №МИХ-РОС15-235 от 08.02.15г.
</t>
  </si>
  <si>
    <t xml:space="preserve">Оплата за цемент по счету №ЭНЕЦГ 14/746 от 05.03.15г.
</t>
  </si>
  <si>
    <t xml:space="preserve">Оплата за цемент по договору №МИХ/30ЭВН от 01.04.14г.
</t>
  </si>
  <si>
    <t xml:space="preserve">Оплата за цемент по счету №ЭНЕЦГ 14/751 от 11.03.15г. и №ЭНЕЦГ 14/756 от 06.04.15г.
</t>
  </si>
  <si>
    <t xml:space="preserve">Оплата за цемент по договору №МИХ/30ЭВН от 01.04.14г.,счет №ЭНЕЦГ14/756 от 06.04.15г., №ЭНЕЦГ 14/757 от 07.04.15г.
</t>
  </si>
  <si>
    <t xml:space="preserve">Оплата за цемент по договору №МИХ/30ЭВН от 01.04.14г.,счет №ЭНЕЦГ14/757 от 07.04.15г.
</t>
  </si>
  <si>
    <t xml:space="preserve">Оплата за цемент по договору №МИХ/30ЭВН от 01.04.14г.,счет №ЭНЕЦГ 14/757 от 07.04.15г.
</t>
  </si>
  <si>
    <t xml:space="preserve">Оплата за цемент по договору №МИХ/30ЭВН от 01.04.14г.,счет ЭНЕЦГ 14/762 от 19.05.15г.
</t>
  </si>
  <si>
    <t xml:space="preserve">Оплата за цемент по договору №МИХ/30ЭВН от 01.04.14г.,счет №ЭНЕЦГ 14/768 от 11.06.15г.
</t>
  </si>
  <si>
    <t xml:space="preserve">Оплата за ТМЦ по счету №109 от 18.04.14г.
</t>
  </si>
  <si>
    <t xml:space="preserve">Оплата за ТМЦ по счету №144 от 12.05.14г.
</t>
  </si>
  <si>
    <t xml:space="preserve">Оплата за ТМЦ по счету №177 от 30.04.14г.
</t>
  </si>
  <si>
    <t xml:space="preserve">Оплата за ТМЦ по счету №209 от 19.06.14г.
</t>
  </si>
  <si>
    <t xml:space="preserve">Оплата за ТМЦ по счету №221 от 30.06.14г.
</t>
  </si>
  <si>
    <t xml:space="preserve">Оплата за суперпластификатор по счету №238 от 08.07.2014г.
</t>
  </si>
  <si>
    <t>Оплата за ТМЦ по счету №299 от 14.08.14г.
С</t>
  </si>
  <si>
    <t xml:space="preserve">Оплата за ТМЦ по счету №347 от 16.09.14г.
</t>
  </si>
  <si>
    <t xml:space="preserve">Оплата за ТМЦ по счету №369 от 29.09.14г.
</t>
  </si>
  <si>
    <t xml:space="preserve">Оплата за ТМЦ по счету №19 от 02.02.15г.
</t>
  </si>
  <si>
    <t xml:space="preserve">Оплата за ТМЦ по счету №108 от 09.04.15г.
</t>
  </si>
  <si>
    <t xml:space="preserve">Оплата за ТМЦ по счету №124 от 20.04.15г.
</t>
  </si>
  <si>
    <t xml:space="preserve">Оплата за ТМЦ по счету №2575 от 19.06.14г.
</t>
  </si>
  <si>
    <t xml:space="preserve">Оплата за ТМЦ по счету №3525 от 13.08.14г.
</t>
  </si>
  <si>
    <t xml:space="preserve">Оплата за отвод по счету №2430 от 03.1013г.
</t>
  </si>
  <si>
    <t xml:space="preserve">Оплата за ТМЦ по счету №4703 от 12.12.14г.
</t>
  </si>
  <si>
    <t xml:space="preserve">Оплата за ТМЦ по счету №50761 от 01.09.14г.
</t>
  </si>
  <si>
    <t xml:space="preserve">Оплата за ТМЦ по счету №6167 от 23.12.14г.
</t>
  </si>
  <si>
    <t xml:space="preserve">Оплата за ТМЦ по счету №10002 от 17.11.14г.
</t>
  </si>
  <si>
    <t xml:space="preserve">Оплата за ТМЦ по счету №783 от 05.08.14г.
</t>
  </si>
  <si>
    <t xml:space="preserve">Оплата за ТМЦ по счету №984 от 01.09.14г.
</t>
  </si>
  <si>
    <t xml:space="preserve">Оплата за ТМЦ по счету №1443 от 07.11.14г.
</t>
  </si>
  <si>
    <t xml:space="preserve">Оплата за ТМЦ по счету №1517 от 26.11.14г.
</t>
  </si>
  <si>
    <t xml:space="preserve">Оплата за ТМЦ по счету №563 от 03.06.2015г.
</t>
  </si>
  <si>
    <t xml:space="preserve">Оплата за ТМЦ по счету №307 от 07.09.14г.
</t>
  </si>
  <si>
    <t xml:space="preserve">Оплата за ТМЦ по счету №361 от 07.10.14г.
</t>
  </si>
  <si>
    <t xml:space="preserve">Оплата за ТМЦ по счету №374 от 16.10.14г.
</t>
  </si>
  <si>
    <t xml:space="preserve">Оплата за ТМЦ по счету №398 от 02.11.14г.
</t>
  </si>
  <si>
    <t xml:space="preserve">Оплата за ТМЦ по счету №591 от 21.04.15г.
</t>
  </si>
  <si>
    <t xml:space="preserve">Оплата за ТМЦ по счету №617 от 28.04.2015г.
</t>
  </si>
  <si>
    <t xml:space="preserve">Оплата за кирпич по счету №450 от 12.12.14г.
</t>
  </si>
  <si>
    <t xml:space="preserve">Оплпта за ТМЦ по счету №477 от 24.12.14г.
</t>
  </si>
  <si>
    <t xml:space="preserve">Оплата за ТМЦ по счету №29 от 29.01.15г.
</t>
  </si>
  <si>
    <t xml:space="preserve">Оплата за ТМЦ по счету №30 от 29.01.15г.
</t>
  </si>
  <si>
    <t xml:space="preserve">Оплата за ТМЦ по счету №413 от 13.08.14г.
</t>
  </si>
  <si>
    <t xml:space="preserve">Оплата за ТМЦ по счету №246 от 20.05.14г.
</t>
  </si>
  <si>
    <t xml:space="preserve">Оплата за ТМЦ по счету №278 от 26.06.14г.
</t>
  </si>
  <si>
    <t xml:space="preserve">Оплата за ТМЦ по счету №05-11 от 23.05.14г.
</t>
  </si>
  <si>
    <t xml:space="preserve">Оплата за ТМЦ по счету №579 от 28.05.14г.
</t>
  </si>
  <si>
    <t xml:space="preserve">Оплата за ТМЦ по счету №617-5-СЧ от 17.06.14г.
</t>
  </si>
  <si>
    <t xml:space="preserve">Оплата за ТМЦ по счету №716-3-СЧ от 16.07.2014г.
</t>
  </si>
  <si>
    <t xml:space="preserve">Оплата за ТМЦ по счету №200 от 23.06.14г.
</t>
  </si>
  <si>
    <t xml:space="preserve">Оплата за ТМЦ по счету №181 от 23.06.14г.
</t>
  </si>
  <si>
    <t xml:space="preserve">Оплата за политерм по счету №195 от 02.07.14г.
</t>
  </si>
  <si>
    <t xml:space="preserve">Оплата за ТМЦ по счету №262 от 06.08.14г.
</t>
  </si>
  <si>
    <t xml:space="preserve">Оплата за ТМЦ по счету №510 от 23.06.14г.
</t>
  </si>
  <si>
    <t xml:space="preserve">Оплата за линолеум по счету №122 от 10.06.13г.
</t>
  </si>
  <si>
    <t xml:space="preserve">Оплата за ТМЦ по счету №57 от 02.04.14г.
</t>
  </si>
  <si>
    <t xml:space="preserve">Оплата за ТМЦ по счету №91 от 12.05.14г.
</t>
  </si>
  <si>
    <t xml:space="preserve">Оплата за ТМЦ по счету №К-236 от 16.04.14г.
</t>
  </si>
  <si>
    <t xml:space="preserve">Оплата за ТМЦ по счету №197 от 18.03.14г.
</t>
  </si>
  <si>
    <t xml:space="preserve">Оплата за ТМЦ по счету №МС-1195 от 19.03.14г.
</t>
  </si>
  <si>
    <t xml:space="preserve">Оплата за ТМЦ по договору №КТС 5950/19-КВ от 15.12.2010г.
</t>
  </si>
  <si>
    <t xml:space="preserve">Оплата за ТМЦ по счету №662 от 16.12.13г.
</t>
  </si>
  <si>
    <t xml:space="preserve">Оплата за ТМЦ по счету №5114 от 15.04.14г.
</t>
  </si>
  <si>
    <t xml:space="preserve">Оплата за ТМЦ по счету №7796 от 23.05.14г.
</t>
  </si>
  <si>
    <t xml:space="preserve">Оплата за сетку по счету №10975 от 04.07.2014г.
</t>
  </si>
  <si>
    <t xml:space="preserve">Оплата за сетку по счету №12005 от 17.07.2014г.
</t>
  </si>
  <si>
    <t xml:space="preserve">Оплата за ТМЦ по счету №17788 от 07.10.14г.
</t>
  </si>
  <si>
    <t xml:space="preserve">Оплата за ТМЦ по счету №6787 от 18.05.15г.
</t>
  </si>
  <si>
    <t xml:space="preserve">Оплата за ТМЦ по счету №276 от 16.12.13г.
</t>
  </si>
  <si>
    <t xml:space="preserve">Оплата за ТМЦ по счету №18 от 15.01.14г.
</t>
  </si>
  <si>
    <t xml:space="preserve">Оплата за ТМЦ по счету №691 от 23.06.14г.
</t>
  </si>
  <si>
    <t xml:space="preserve">Оплата за ТМЦ по счету №69 от 24.11.13г.
</t>
  </si>
  <si>
    <t xml:space="preserve">Оплата за ТМЦ по счету №2204 от 20.11.13г.
</t>
  </si>
  <si>
    <t xml:space="preserve">Оплата за ТМЦ по счету №1017 от 07.05.14г.
</t>
  </si>
  <si>
    <t xml:space="preserve">Оплата за кирпич по счету №948 от 06.11.13г.
</t>
  </si>
  <si>
    <t xml:space="preserve">Оплата за ТМЦ по счету №546 от 25.10.13г.
</t>
  </si>
  <si>
    <t xml:space="preserve">Оплата за ТМЦ по счету №38 от 15.01.13г.
</t>
  </si>
  <si>
    <t xml:space="preserve">Оплата за ТМЦ по счету №56 от 21.01.13г.
</t>
  </si>
  <si>
    <t xml:space="preserve">Оплата за ТМЦ по счету №85 от 28.01.13г.
</t>
  </si>
  <si>
    <t xml:space="preserve">Оплата за ТМЦ по счету №107 от 04.02.13г.
</t>
  </si>
  <si>
    <t xml:space="preserve">Оплата за ТМЦ по счету №135 от 11.02.13г.
</t>
  </si>
  <si>
    <t xml:space="preserve">Оплата за ТМЦ по счету №166 от 18.02.13г.
</t>
  </si>
  <si>
    <t xml:space="preserve">Оплата за ТМЦ по счету №186 от 27.02.13г.
</t>
  </si>
  <si>
    <t xml:space="preserve">Оплата за ТМЦ по счету №216 от 11.03.13г.
</t>
  </si>
  <si>
    <t xml:space="preserve">Оплата за ТМЦ по счету №253 от 18.03.13г.
</t>
  </si>
  <si>
    <t xml:space="preserve">Оплата за ТМЦ по счету №283 от 25.03.13г.
</t>
  </si>
  <si>
    <t xml:space="preserve">Оплата за ТМЦ по счету №311 от 03.04.13г.
</t>
  </si>
  <si>
    <t xml:space="preserve">Оплата за ТМЦ по счету №339 от 13.05.13г.
</t>
  </si>
  <si>
    <t xml:space="preserve">Оплата за уголь  по счету №363 от 03.06.13г.
</t>
  </si>
  <si>
    <t xml:space="preserve">Оплата за уголь по счету №435 от 19.08.13г.
</t>
  </si>
  <si>
    <t xml:space="preserve">Оплата за ТМЦ по счету №521 от 25.09.13г.
</t>
  </si>
  <si>
    <t xml:space="preserve">Оплата за ТМЦ по счету №642 от 14.11.13г.
</t>
  </si>
  <si>
    <t xml:space="preserve">Оплата за ТМЦ по счету №115 от 11.02.14г.
</t>
  </si>
  <si>
    <t xml:space="preserve">Оплата за трубы по счету №1020 от 29.05.13г.
</t>
  </si>
  <si>
    <t>Оплата за битум по счету №386 от 18.09.13г.
Сумма 60300-00
В т.ч. НДС(18%) 9198-31</t>
  </si>
  <si>
    <t>Оплата за ТМЦ по счету №165 от 13.04.15г.
Сумма 133990-00
В т.ч. НДС(18%) 20439-15</t>
  </si>
  <si>
    <t xml:space="preserve">Оплата за гравий по счету №116 от 04.09.13г.
</t>
  </si>
  <si>
    <t xml:space="preserve">Оплата за гравий по счету №150 от 05.11.13г.
</t>
  </si>
  <si>
    <t xml:space="preserve">Оплата за кирпич по счету №НГ000000807 от 30.08.13г.
</t>
  </si>
  <si>
    <t xml:space="preserve">Оплата за ТМЦ по счету №НГ000000034 от 02.02.15г.
</t>
  </si>
  <si>
    <t xml:space="preserve">Оплата за ТМЦ по счету №300 от 28.08.13г.
</t>
  </si>
  <si>
    <t xml:space="preserve">Оплата за политерм по счету №306 от 03.09.13г.
</t>
  </si>
  <si>
    <t xml:space="preserve">Оплата за политерм по счету №395 от 07.11.13г.
</t>
  </si>
  <si>
    <t xml:space="preserve">Оплата за воронку по счету №2688 от 08.08.13г.
</t>
  </si>
  <si>
    <t xml:space="preserve">Оплата за ТМЦ по счету №712 от 30.07.13г.
</t>
  </si>
  <si>
    <t xml:space="preserve">Оплата за ТМЦ по счету №294 от 03.07.13г.
</t>
  </si>
  <si>
    <t xml:space="preserve">Оплата за ТМЦ по счету №37 от 05.02.14г.
</t>
  </si>
  <si>
    <t xml:space="preserve">Оплата за ТМЦ по счету №39 от 17.04.13г.
</t>
  </si>
  <si>
    <t xml:space="preserve">Оплата за ТМЦ по счету №60 от 27.08.13г.
</t>
  </si>
  <si>
    <t xml:space="preserve">Оплата за ТМЦ по счету №91 от 05.03.13г.
</t>
  </si>
  <si>
    <t xml:space="preserve">Доплата за ТМЦ по счету №91 от 05.03.13г.
</t>
  </si>
  <si>
    <t xml:space="preserve">Оплата за кирпич по счету №27 от 11.07.13г.
</t>
  </si>
  <si>
    <t xml:space="preserve">Оплата за ТМЦ по счету №125 от 16.08.13г.
</t>
  </si>
  <si>
    <t xml:space="preserve">Оплата за ТМЦ по счету №196 от 07.10.13г.
</t>
  </si>
  <si>
    <t xml:space="preserve">Оплата за ТМЦ по счету №97 от 15.07.2014г.
</t>
  </si>
  <si>
    <t xml:space="preserve">Оплата за ТМЦ по счету №103 от 02.08.14г.
</t>
  </si>
  <si>
    <t xml:space="preserve">Оплата за ТМЦ по счету №105 от 29.08.14г.
</t>
  </si>
  <si>
    <t xml:space="preserve">Оплата за ТМЦ по счету №107 от 16.09.14г.
</t>
  </si>
  <si>
    <t xml:space="preserve">Оплата за ТМЦ по счету №11 от 01.10.14г.
</t>
  </si>
  <si>
    <t xml:space="preserve">Оплата за кирпич по счету №121 от 17.11.14г.
</t>
  </si>
  <si>
    <t xml:space="preserve">Оплата за ТМЦ по счету №134 от 10.12.14г.
</t>
  </si>
  <si>
    <t xml:space="preserve">Оплата за ТМЦ по счету №114-4-Сч от 14.01.13г.
</t>
  </si>
  <si>
    <t xml:space="preserve">Оплата за ТМЦ по счету №1 от 12.03.13г.
</t>
  </si>
  <si>
    <t xml:space="preserve">Оплата за цемент  по счету №3 от 02.04.13г.
</t>
  </si>
  <si>
    <t xml:space="preserve">Оплата за ТМЦ по счету №4 от 22.04.13г.
</t>
  </si>
  <si>
    <t xml:space="preserve">Оплата за ТМЦ по счету №7 от 07.05.13г.
</t>
  </si>
  <si>
    <t xml:space="preserve">Оплата за цемент  по счету №8 от 30.05.13г.
</t>
  </si>
  <si>
    <t xml:space="preserve">Оплата за ТМЦ по счету №9 от 11.06.13г.
</t>
  </si>
  <si>
    <t xml:space="preserve">Оплата за ТМЦ по счету №10 от 17.06.13г.
</t>
  </si>
  <si>
    <t xml:space="preserve">Оплата за ТМЦ по счету №11 от 09.07.13г.
</t>
  </si>
  <si>
    <t xml:space="preserve">Оплата за ТМЦ по счету №12 от 24.07.13г.
</t>
  </si>
  <si>
    <t xml:space="preserve">Оплата за цемент по счету №14 от 13.08.13г.
</t>
  </si>
  <si>
    <t xml:space="preserve">Оплата за ТМЦ по счету №18 от 04.09.13г.
</t>
  </si>
  <si>
    <t xml:space="preserve">Оплата за цемент по счету №19 от 16.09.13г.
</t>
  </si>
  <si>
    <t xml:space="preserve">Оплата за цемент  по счету №20 от 20.09.13г.
</t>
  </si>
  <si>
    <t xml:space="preserve">Оплата за ТМЦ по счету №20 от 20.09.13г.
</t>
  </si>
  <si>
    <t xml:space="preserve">Оплата за ТМЦ по счету №23 от 01.10.13г.
</t>
  </si>
  <si>
    <t xml:space="preserve">Оплата за ТМЦ по счету №24 от 07.10.13г.
</t>
  </si>
  <si>
    <t xml:space="preserve">Оплата за цемент по счету №25 от 16.10.13г.
</t>
  </si>
  <si>
    <t xml:space="preserve">Оплата за ТМЦ по счету №26 от 16.10.13г.
</t>
  </si>
  <si>
    <t xml:space="preserve">Оплата за ТМЦ по счету №28 от 18.10.13г.
</t>
  </si>
  <si>
    <t xml:space="preserve">Оплата за ТМЦ по счету №27 от 17.10.13г.
</t>
  </si>
  <si>
    <t xml:space="preserve">Оплата за ТМЦ по счету №29 от 22.10.13г.
</t>
  </si>
  <si>
    <t xml:space="preserve">Оплата за ТМЦ по счету №30 от 31.10.13г.
</t>
  </si>
  <si>
    <t xml:space="preserve">Оплата за ТМЦ по счету №29 от 22.11.13г.
</t>
  </si>
  <si>
    <t xml:space="preserve">Оплата за ТМЦ по счету №31 от 14.11.13г.
</t>
  </si>
  <si>
    <t xml:space="preserve">Оплата за ТМЦ по счету №32 от 15.11.13г.
</t>
  </si>
  <si>
    <t xml:space="preserve">Оплата за ТМЦ по счету №33 от 26.11.13г.
</t>
  </si>
  <si>
    <t xml:space="preserve">Оплата за ТМЦ по счету №34 от 28.11.13г.
</t>
  </si>
  <si>
    <t xml:space="preserve">Оплата за ТМЦ по счету №0000443 от 13.03.13г.
</t>
  </si>
  <si>
    <t xml:space="preserve">Оплата за ТМЦ по счету №78 от 05.03.13г.
</t>
  </si>
  <si>
    <t xml:space="preserve">Оплата за ТМЦ по счету №15 от 10.01.13г.
</t>
  </si>
  <si>
    <t xml:space="preserve">Оплата за ТМЦ по счету №63 от 18.01.13г.
</t>
  </si>
  <si>
    <t xml:space="preserve">Оплата за ТМЦ по счету №33 от 16.04.13г.
</t>
  </si>
  <si>
    <t xml:space="preserve">Оплата за ТМЦ по счету №37 от 22.04.13г.
</t>
  </si>
  <si>
    <t>Оплата за ТМЦ по счету №553 от 28.05.13г.
Сумма 11936-00
Без налога (НДС)</t>
  </si>
  <si>
    <t>Квитанция к прих/касс ордеру</t>
  </si>
  <si>
    <t xml:space="preserve">Оплата за ТМЦ по договору №10/2013 от 14.10.13г.
</t>
  </si>
  <si>
    <t xml:space="preserve">Оплата за кирпич по счету №131 от 28.08.13г.
</t>
  </si>
  <si>
    <t xml:space="preserve">Оплата унифлекс по счету №25 от 22.05.13г.
</t>
  </si>
  <si>
    <t xml:space="preserve">Оплата за ТМЦ по счету №26 от 20.08.13г.
</t>
  </si>
  <si>
    <t xml:space="preserve">Оплата за унифлекс по счету №27 от 03.09.13г.
</t>
  </si>
  <si>
    <t xml:space="preserve">Оплата за унифлекс по счету №7 от 05.11.13г.
</t>
  </si>
  <si>
    <t>Оплата за ТМЦ по счету №112 от 24.01.13г.
Сумма 15500-00
В т.ч. НДС(18%) 2364-41</t>
  </si>
  <si>
    <t xml:space="preserve">Оплата за щебень по счету №187 от 19.06.13г.
</t>
  </si>
  <si>
    <t xml:space="preserve">Оплата за щебень по договору №47-П-2013 от 07.05.13г.
</t>
  </si>
  <si>
    <t xml:space="preserve">Оплата за ТМЦ по счету №12034 от 16.04.13г.
</t>
  </si>
  <si>
    <t xml:space="preserve">Оплата за ТМЦ по счету №4572 от 03.06.13г.
</t>
  </si>
  <si>
    <t xml:space="preserve">Оплата за ТМЦ по счету №6499 от 16.07.13г
</t>
  </si>
  <si>
    <t xml:space="preserve">Оплата за ТМЦ по счету №8336 от 27.08.13г.
</t>
  </si>
  <si>
    <t xml:space="preserve">Оплата за ТМЦ по счету №10423 от 22.10.13г.
</t>
  </si>
  <si>
    <t xml:space="preserve">Оплата за ТМЦ по счету №12185 от 20.12.13г.
</t>
  </si>
  <si>
    <t xml:space="preserve">Оплата за ТМЦ по счету №139 от 15.01.14г.
</t>
  </si>
  <si>
    <t xml:space="preserve">Оплата за ТМЦ по счету №1171 от 25.02.14г.
</t>
  </si>
  <si>
    <t xml:space="preserve">Оплата за материалы по счету №2914 от 10.04.14г.
</t>
  </si>
  <si>
    <t xml:space="preserve">Оплата за ТМЦ по счету №8000 от 05.08.14г.
</t>
  </si>
  <si>
    <t xml:space="preserve">Оплата за материалы по счету №538 от 28.01.2015
</t>
  </si>
  <si>
    <t xml:space="preserve">Оплата за ТМЦ по счету №211669 от 03.07.13г.
</t>
  </si>
  <si>
    <t xml:space="preserve">Оплата за ТМЦ по счету №25 от 21.11.13г.
</t>
  </si>
  <si>
    <t xml:space="preserve">Оплата за ТМЦ по счету №SO13-0000553 от 26.04.13г.
</t>
  </si>
  <si>
    <t xml:space="preserve">Оплата за материалы по счету №649 от 08.10.13г.
</t>
  </si>
  <si>
    <t xml:space="preserve">Оплата за электроды по счету №8602 от 21.05.13г.
</t>
  </si>
  <si>
    <t xml:space="preserve">Оплата за электроды по счеу №18290 от 10.10.13г.
</t>
  </si>
  <si>
    <t xml:space="preserve">Оплата за ТМЦ по счету №1270 от 28.01.14г.
</t>
  </si>
  <si>
    <t xml:space="preserve">Оплата за ТМЦ по счету №7898 от 07.05.14г.
</t>
  </si>
  <si>
    <t xml:space="preserve">Оплата за ТМЦ по счету №17392 от 06.10.14г.
</t>
  </si>
  <si>
    <t xml:space="preserve">Оплата за ТМЦ по договору №17 от 11.01.10г.
</t>
  </si>
  <si>
    <t xml:space="preserve">Оплата за ТМЦ по счетам: №7341 от 07.02.13г. и №7426 от 08.02.13г.
</t>
  </si>
  <si>
    <t xml:space="preserve">Оплата за ТМЦ по счету №18467 от21.03.13г.
</t>
  </si>
  <si>
    <t xml:space="preserve">Оплата за ТМЦ по счету №26025 от 16.04.13г.
</t>
  </si>
  <si>
    <t xml:space="preserve">Оплата за ТМЦ по счету №31381 от 13.05.13г.
</t>
  </si>
  <si>
    <t xml:space="preserve">Оплата за профнастил по счету №52846 от 19.07.13г.
</t>
  </si>
  <si>
    <t xml:space="preserve">Оплата за ТМЦ по счету №67710 от 03.09.13г.
</t>
  </si>
  <si>
    <t xml:space="preserve">Оплата за ТМЦ по счету №89376 от 07.11.13г.
</t>
  </si>
  <si>
    <t xml:space="preserve">Оплата за ТМЦ по счету №98240 от 05.12.13г.
</t>
  </si>
  <si>
    <t xml:space="preserve">Оплата за ТМЦ по счету №102141 от 19.12.13г.
</t>
  </si>
  <si>
    <t xml:space="preserve">Оплата за ТМЦ по счету №102818 от 23.12.13г.
</t>
  </si>
  <si>
    <t xml:space="preserve">Оплата за ТМЦ по счету №1614 от 15.01.14г.
</t>
  </si>
  <si>
    <t xml:space="preserve"> Оплата за ТМЦ по счету №18067 от 14.03.14г.
</t>
  </si>
  <si>
    <t xml:space="preserve">Оплата за профнастил по счету №55634 от 03.07.2014г.
</t>
  </si>
  <si>
    <t xml:space="preserve">Оплата за ТМЦ по счету №67398 от 05.08.14г.
</t>
  </si>
  <si>
    <t xml:space="preserve">Оплата за ТМЦ по счету №76785 от 01.09.14г.
</t>
  </si>
  <si>
    <t xml:space="preserve">Оплата за ТМЦ по счету №101610 от 13.11.14г.
</t>
  </si>
  <si>
    <t xml:space="preserve">Оплата за ТМЦ по счету №2754 от 04.03.13г.
</t>
  </si>
  <si>
    <t xml:space="preserve">Оплата за ТМЦ по счету №8474 от 03.06.13г.
</t>
  </si>
  <si>
    <t xml:space="preserve">Оплата за эмаль по счету №8484 от 03.06.13г.
</t>
  </si>
  <si>
    <t xml:space="preserve">Оплата за эмаль по счету №10538 от 05.07.13г.
</t>
  </si>
  <si>
    <t xml:space="preserve">Оплата за ТМЦ по счету №9561 от 20.06.13г.
</t>
  </si>
  <si>
    <t xml:space="preserve">Оплата за ТМЦ по счету №14486 от 12.09.13г.
</t>
  </si>
  <si>
    <t xml:space="preserve">Оплата за ТМЦ по счету №17263 от 07.11.13г.
</t>
  </si>
  <si>
    <t xml:space="preserve">Оплата за ТМЦ по счету №18914 от 10.12.13г.
</t>
  </si>
  <si>
    <t xml:space="preserve">Оплата за ТМЦ по счету №2202 от 20.02.14г.
</t>
  </si>
  <si>
    <t xml:space="preserve">Оплата за ТМЦ по счетам: №41730 от 11.04.14г. и №5344 от 11.04.14г.
</t>
  </si>
  <si>
    <t xml:space="preserve">Оплата за ТМЦ по счету №6881 от 12.05.14г.
</t>
  </si>
  <si>
    <t xml:space="preserve">Оплата за эмаль,растворитель,  по счету №10107 от 03.07.2014г.№10112 от 03.07.14г.
</t>
  </si>
  <si>
    <t xml:space="preserve">Оплата за ТМЦ по договору
</t>
  </si>
  <si>
    <t xml:space="preserve">Оплата за ТМЦ по счету №10661 от 14.07.14г.
</t>
  </si>
  <si>
    <t xml:space="preserve">Оплата за ТМЦ по счету №13599 от 04.09.14г.
</t>
  </si>
  <si>
    <t xml:space="preserve">Оплата кредиторской задолженности
</t>
  </si>
  <si>
    <t xml:space="preserve">Оплата за ТМЦ по счету №18591 от 22.12.14г.
</t>
  </si>
  <si>
    <t xml:space="preserve">Оплата за ТМЦ по счету №1392 от 06.02.15г.
</t>
  </si>
  <si>
    <t xml:space="preserve">Оплата за ТМЦ по счету №4091 от 07.04.15г.
</t>
  </si>
  <si>
    <t xml:space="preserve">Оплата за материалы по счету №5783 от 18.05.2015г.
</t>
  </si>
  <si>
    <t xml:space="preserve">Оплата за ТМЦ по счету №5833 от 19.05.15г.
</t>
  </si>
  <si>
    <t xml:space="preserve">Оплата по счетам: №36 и №37 от 26.03.13г.
</t>
  </si>
  <si>
    <t xml:space="preserve">Оплата за ТМЦ по счету №38 от 26.03.13г.
</t>
  </si>
  <si>
    <t xml:space="preserve">Оплата за ТМЦ по счету №77 от 31.05.13г.
</t>
  </si>
  <si>
    <t xml:space="preserve">Оплата за ТМЦ по счету №78 от 31.05.13г.
</t>
  </si>
  <si>
    <t xml:space="preserve">Оплата за ТМЦ по счету №125 от 30.08.13г.
</t>
  </si>
  <si>
    <t xml:space="preserve">Оплата за ТМЦ по счету №126 от 31.08.13г.
</t>
  </si>
  <si>
    <t xml:space="preserve">Оплата за ТМЦ по счету №138 от 26.09.13г.
</t>
  </si>
  <si>
    <t xml:space="preserve">Оплата за ТМЦ по счету №178 от 13.11.13г.
</t>
  </si>
  <si>
    <t xml:space="preserve">Оплата за ТМЦ по счету №183 от 20.11.13г.
</t>
  </si>
  <si>
    <t xml:space="preserve">Оплата за ТМЦ по счету №197 от 13.12.13г.
</t>
  </si>
  <si>
    <t xml:space="preserve">Оплата за ТМЦ по счету №205 от 17.12.13г.
</t>
  </si>
  <si>
    <t xml:space="preserve">Оплата за ТМЦ по счету №11 от 03.02.14г.
</t>
  </si>
  <si>
    <t xml:space="preserve">Оплата за ТМЦ по счету №20 от 19.02.14г.
</t>
  </si>
  <si>
    <t xml:space="preserve">Оплата за ТМЦ по счету №54 от 24.04.14г.
</t>
  </si>
  <si>
    <t xml:space="preserve">Оплата за ТМЦ по счету №74 от 29.05.14г.
</t>
  </si>
  <si>
    <t xml:space="preserve">Оплата за ТМЦ по счету №136 от 01.08.14г.
</t>
  </si>
  <si>
    <t xml:space="preserve">Оплата за ТМЦ по счету №134 от 08.08.14г.
</t>
  </si>
  <si>
    <t xml:space="preserve">Оплата за ТМЦ по счетам: №160 от 22.08.14г. и №161 от 25.08.14г.
</t>
  </si>
  <si>
    <t xml:space="preserve">Оплата за ТМЦ по счету №170 от 04.09.14г.
</t>
  </si>
  <si>
    <t xml:space="preserve">Оплата за ТМЦ по счету №213 от 10.10.14г.
</t>
  </si>
  <si>
    <t xml:space="preserve">Оплата за ТМЦ по счету №233 от 24.10.14г.
</t>
  </si>
  <si>
    <t xml:space="preserve">Оплата за цемент по договору №1 от 01.01.12г.
</t>
  </si>
  <si>
    <t xml:space="preserve">Оплата за цемент по счету №7 от 22.01.14г.
</t>
  </si>
  <si>
    <t xml:space="preserve"> Оплата за ТМЦ по счету №23 от 24.02.14г.
</t>
  </si>
  <si>
    <t xml:space="preserve">Оплата за ТМЦ по счету №23 от 24.02.14г.
</t>
  </si>
  <si>
    <t xml:space="preserve">Оплата за ТМЦ по счету №85 от 15.01.13г.
</t>
  </si>
  <si>
    <t xml:space="preserve">Оплата за ТМЦ по счету №1740 от 25.04.13г.
</t>
  </si>
  <si>
    <t xml:space="preserve">Оплата за ТМЦ по счету №768 от 16.12.13г.
</t>
  </si>
  <si>
    <t xml:space="preserve">Оплата за ТМЦ по счету №286 от 15.04.14г.
</t>
  </si>
  <si>
    <t xml:space="preserve">Оплата за ТМЦ по счету №48 от 27.01.15г.
</t>
  </si>
  <si>
    <t xml:space="preserve">Оплата за ТМЦ по счету №262 от 02.04.15г.
</t>
  </si>
  <si>
    <t xml:space="preserve">Оплата за ТМЦ по счету №4247 от 12.08.13г.
</t>
  </si>
  <si>
    <t xml:space="preserve">Оплата за ТМЦ по счету №86 от 06.05.13г.
</t>
  </si>
  <si>
    <t xml:space="preserve">Оплата за ТМЦ по счету №3625 от 06.05.13г.
</t>
  </si>
  <si>
    <t xml:space="preserve">Оплата за ТМЦ по счетам: №30 от 01.08.13г. и №29 от 31.07.13г.
</t>
  </si>
  <si>
    <t xml:space="preserve">Оплата за ТМЦ по счетам: №147 от 16.08.13г. и №31 от 05.08.13г.
</t>
  </si>
  <si>
    <t xml:space="preserve">Оплата за ТМЦ по счету №17 от 24.02.14г.
</t>
  </si>
  <si>
    <t xml:space="preserve">Оплата за ТМЦ по счету №59 от 08.07.2014г.
</t>
  </si>
  <si>
    <t>Оплата за ТМЦ по счету №266 от 27.03.13г.
Сумма 6555-00
В т.ч. НДС(18%) 999-92</t>
  </si>
  <si>
    <t xml:space="preserve">Оплата за ТМЦ согласно акта сверки с 01.01.2013 по 13.08.2013г.
</t>
  </si>
  <si>
    <t xml:space="preserve">Оплата за ТМЦ по счету №1156 от 07.11.13г.
</t>
  </si>
  <si>
    <t xml:space="preserve">Оплата за ТМЦ по счетам: №59 от 29.01.14г. и №86 от 11.02.14г.
</t>
  </si>
  <si>
    <t xml:space="preserve">Оплата за материалы по счету №148 от 12.03.14г.
</t>
  </si>
  <si>
    <t xml:space="preserve">Оплата за ТМЦ по договору №09/01/13/2 от  09.01.2013г.,счет 572 от 16.07.14г.
</t>
  </si>
  <si>
    <t xml:space="preserve">Оплата за ТМЦ по договору №09/01/13/2 от  09.01.2013г.
</t>
  </si>
  <si>
    <t xml:space="preserve">Оплата за ТМЦ по счету №1 от 25.01.13г.
</t>
  </si>
  <si>
    <t xml:space="preserve">Оплата за ТМЦ по счету №4 от 28.03.13г.
</t>
  </si>
  <si>
    <t xml:space="preserve">Оплата за доски по счету №6 от 04.06.13г.
</t>
  </si>
  <si>
    <t xml:space="preserve">Оплата за доску по счету №6 от 04.06.13г.
</t>
  </si>
  <si>
    <t xml:space="preserve">Оплата за ТМЦ по счету №10 от 14.08.13г.
</t>
  </si>
  <si>
    <t xml:space="preserve">Оплата за ТМЦ по счету №16 от 29.10.13г.
</t>
  </si>
  <si>
    <t xml:space="preserve">Оплата за ТМЦ по счету №7702 от 22.05.13г.
</t>
  </si>
  <si>
    <t xml:space="preserve">Оплата за сетку сварную по счету №7863 от 24.05.13г.
</t>
  </si>
  <si>
    <t xml:space="preserve">Оплата за сетку сварную по счету №7974 от 27.05.13г.
</t>
  </si>
  <si>
    <t xml:space="preserve">Оплата за сетку по счету №8528 от 31.05.13г.
</t>
  </si>
  <si>
    <t xml:space="preserve">Оплата за сетку по счету №9297 от 10.06.13г.
</t>
  </si>
  <si>
    <t xml:space="preserve">Оплата за сетку по счету №10113 от 20.06.13г.
</t>
  </si>
  <si>
    <t xml:space="preserve">Оплата за ТМЦ по счету №11193 от 03.07.13г.
</t>
  </si>
  <si>
    <t xml:space="preserve">Оплата за сетку по счету №14983 от 21.08.13г.
</t>
  </si>
  <si>
    <t xml:space="preserve">Оплата за сетку по счету №17952 от 03.10.13г.
</t>
  </si>
  <si>
    <t xml:space="preserve">Оплата за сетку по счету №18402 от 11.10.13г.
</t>
  </si>
  <si>
    <t xml:space="preserve">Оплата за ТМЦ по счету №19330 от 25.10.13г.
</t>
  </si>
  <si>
    <t xml:space="preserve">Оплата за ТМЦ по счету №50-661-0000 от 27.12.12г.
</t>
  </si>
  <si>
    <t xml:space="preserve">Оплата за ТМЦ по счету №50-19-0000 от 21.01.13г.
</t>
  </si>
  <si>
    <t xml:space="preserve">Оплата за ТМЦ по счету №50-43-0000 от 30.01.13г.
</t>
  </si>
  <si>
    <t xml:space="preserve">Оплата за ТМЦ по счету №50-72-0000 от 13.02.13г.
</t>
  </si>
  <si>
    <t xml:space="preserve">Оплата за ТМЦ по счету №50-84-0000 от 19.02.13г.
</t>
  </si>
  <si>
    <t xml:space="preserve">Оплата за ТМЦ по счету №50-104-0000 от 01.03.13г.
</t>
  </si>
  <si>
    <t xml:space="preserve">Оплата за ТМЦ по счету №50-113-0000 от 07.03.13г.
</t>
  </si>
  <si>
    <t xml:space="preserve">Оплата за ТМЦ по счету №50-124-0000 от 13.03.13г.
</t>
  </si>
  <si>
    <t xml:space="preserve">Оплата за ТМЦ по счету №50-156-0000 от 25.03.13г.
</t>
  </si>
  <si>
    <t xml:space="preserve">Оплата за ТМЦ по счету №50-196-0000 от 05.04.13г.
</t>
  </si>
  <si>
    <t xml:space="preserve">Оплата за ТМЦ по счетам: №50-214-0000 от 15.04.13г. и №50-192-0000 от 05.04.13г.
</t>
  </si>
  <si>
    <t xml:space="preserve">Оплата за ТМЦ по счету: №50-241-0000 от 23.04.13г.
</t>
  </si>
  <si>
    <t xml:space="preserve">Доплата за ТМЦ по счету: №50-241-0000 от 23.04.13г.
</t>
  </si>
  <si>
    <t xml:space="preserve">Оплата за ТМЦ по счетам: №50-264-0000 от 07.05.13г. и №50-269-0000 от 13.05.13г.
</t>
  </si>
  <si>
    <t xml:space="preserve">Оплата за ТМЦ по счету №50-269-0000 от 13.05.13г.
</t>
  </si>
  <si>
    <t xml:space="preserve">Оплата за ТМЦ по счету №50-628-0000 от 26.11.13г.
</t>
  </si>
  <si>
    <t xml:space="preserve">Оплата за ТМЦ по счету №325 от 17.02.15г.
</t>
  </si>
  <si>
    <t xml:space="preserve">Оплата за ТМЦ по счету №417 от 02.03.15г.
</t>
  </si>
  <si>
    <t xml:space="preserve">Оплата за ТМЦ по счету №218-1-СЧ от 18.02.15г.
</t>
  </si>
  <si>
    <t xml:space="preserve">Оплата за ТМЦ по счету №533 от 27.04.15г.
</t>
  </si>
  <si>
    <t>ООО "Ревитал"Оплата за фосфогипс</t>
  </si>
  <si>
    <t xml:space="preserve"> 30.05.13г.</t>
  </si>
  <si>
    <t xml:space="preserve"> по счету №3  
</t>
  </si>
  <si>
    <t xml:space="preserve">ООО "Ревитал"Оплата за фосфогипс </t>
  </si>
  <si>
    <t xml:space="preserve">  по счетам: №6 от 04.06.13г. и №7 от 06.06.13г. 
</t>
  </si>
  <si>
    <t xml:space="preserve">ООО "Ревитал"Оплата по  Договор поставки фосфогипса </t>
  </si>
  <si>
    <t xml:space="preserve"> 13.06.13г.</t>
  </si>
  <si>
    <t xml:space="preserve"> по счету №10  
</t>
  </si>
  <si>
    <t xml:space="preserve"> 25.06.13г.</t>
  </si>
  <si>
    <t xml:space="preserve"> №13  
</t>
  </si>
  <si>
    <t xml:space="preserve">ООО "Ревитал"Оплата за фосфогипс по счету </t>
  </si>
  <si>
    <t xml:space="preserve"> №13 
</t>
  </si>
  <si>
    <t>08.07.13г.</t>
  </si>
  <si>
    <t xml:space="preserve"> по счету №15 
</t>
  </si>
  <si>
    <t xml:space="preserve"> по счету №15  
</t>
  </si>
  <si>
    <t>15.07.13г.</t>
  </si>
  <si>
    <t xml:space="preserve">  по счету №16  </t>
  </si>
  <si>
    <t xml:space="preserve"> по нак.№11 
</t>
  </si>
  <si>
    <t>05.08.13г.</t>
  </si>
  <si>
    <t xml:space="preserve"> по счету №24 
</t>
  </si>
  <si>
    <t xml:space="preserve"> 05.08.13г.</t>
  </si>
  <si>
    <t>26.08.13г.</t>
  </si>
  <si>
    <t xml:space="preserve"> по счету №37  
</t>
  </si>
  <si>
    <t>04.09.13г.</t>
  </si>
  <si>
    <t xml:space="preserve"> по счету №40 
</t>
  </si>
  <si>
    <t xml:space="preserve"> по счету №40  
</t>
  </si>
  <si>
    <t>30.09.13г.</t>
  </si>
  <si>
    <t xml:space="preserve"> по счету №45  
</t>
  </si>
  <si>
    <t xml:space="preserve"> 08.10.13г.</t>
  </si>
  <si>
    <t xml:space="preserve"> по счету №46  
</t>
  </si>
  <si>
    <t xml:space="preserve">ООО "Ревитал"Доплата за фосфогипс </t>
  </si>
  <si>
    <t xml:space="preserve">  по накладной №45 
</t>
  </si>
  <si>
    <t xml:space="preserve">   по ТН №45 
</t>
  </si>
  <si>
    <t xml:space="preserve">  по ТН №45 
</t>
  </si>
  <si>
    <t xml:space="preserve">  по счету №10 
</t>
  </si>
  <si>
    <t xml:space="preserve">ООО "Альянс Мастерс"Оплата за ТМЦ </t>
  </si>
  <si>
    <t xml:space="preserve"> по счету №069  </t>
  </si>
  <si>
    <t xml:space="preserve">ИП Новиков Юрий ВячеславовичОплата за ТМЦ </t>
  </si>
  <si>
    <t>07.04.14г.</t>
  </si>
  <si>
    <t xml:space="preserve">  по счету №21 </t>
  </si>
  <si>
    <t xml:space="preserve">ЗАО "ЕВРОЦЕМЕНТ груп"Оплата за цемент </t>
  </si>
  <si>
    <t xml:space="preserve">  по счету №ЭНЕЦГ 14/336  
</t>
  </si>
  <si>
    <t xml:space="preserve">  по счету №ЭНЕЦГ 14/353  
</t>
  </si>
  <si>
    <t xml:space="preserve">  по счету №ЭНЕЦГ 14/357  
</t>
  </si>
  <si>
    <t>07.05.2014</t>
  </si>
  <si>
    <t xml:space="preserve"> по счету №ЭНЕЦГ 14/369  
</t>
  </si>
  <si>
    <t xml:space="preserve">  по счету №ЭНЕЦГ 14/369  
</t>
  </si>
  <si>
    <t xml:space="preserve">  по счету №ЭНЕЦГ 14/372 
</t>
  </si>
  <si>
    <t xml:space="preserve"> по счету №ЭНЕЦГ 14/392  
</t>
  </si>
  <si>
    <t xml:space="preserve">  по счету №ЭНЕЦГ 14/392  
</t>
  </si>
  <si>
    <t>02.06.2014</t>
  </si>
  <si>
    <t xml:space="preserve"> по счету №ЭНЕЦГ 14/398  
</t>
  </si>
  <si>
    <t>05.06.2014</t>
  </si>
  <si>
    <t xml:space="preserve"> по счету №ЭНЕЦГ 14/402  
</t>
  </si>
  <si>
    <t>09.06.2014</t>
  </si>
  <si>
    <t xml:space="preserve">  по счету №ЭНЕЦГ 14/408  
</t>
  </si>
  <si>
    <t>147.06.2014</t>
  </si>
  <si>
    <t xml:space="preserve"> по счету №ЭНЕЦГ 14/413  
</t>
  </si>
  <si>
    <t>23.06.2014</t>
  </si>
  <si>
    <t xml:space="preserve"> по счету №ЭНЕЦГ 14/416  
</t>
  </si>
  <si>
    <t xml:space="preserve">  по счету №ЭНЕЦГ 14/421 
</t>
  </si>
  <si>
    <t xml:space="preserve"> по счету №ЭПроч14/127  
</t>
  </si>
  <si>
    <t xml:space="preserve">  по счету №ЭНЕЦГ 14/424  
</t>
  </si>
  <si>
    <t xml:space="preserve"> по счету №ЭНЕЦГ 14/429  
</t>
  </si>
  <si>
    <t xml:space="preserve">  по счету №ЭНЕЦГ 14/438 
</t>
  </si>
  <si>
    <t xml:space="preserve"> по счету №ЭНЕЦГ 14/447 
</t>
  </si>
  <si>
    <t>19/07/19-П-Л</t>
  </si>
  <si>
    <t>19.07.2019</t>
  </si>
  <si>
    <t>18/02/19-П</t>
  </si>
  <si>
    <t>18.02.2019</t>
  </si>
  <si>
    <t>18/02/19-С</t>
  </si>
  <si>
    <t>Затраты, связанные со строительством и (или) реконструкцией (в т.ч. модернизацией) объектов локальных очистных сооружений, подключением и (или) присоединением к ним объекта капитального строительства, в т.ч.: Разработка проектной документации (Стадия П) на очистные сооружения хозяйственно-бытовых сточных вод и поверхностных сточных вод в соответствии с заданием на проектирование</t>
  </si>
  <si>
    <t>Получение рыбохозяйственных характеристик, Справки о гидрологической характеристике водного объекта и Справки о фоновых загрязняющих веществах водного объекта: ручей Безымянный, первый приток реки Нерская.   Разработка разделов: "Оценка воздействия планируемой деятельности на состояние водных биологических ресурсов и среду обитания", а также расчет ущерба водным биоресурсам и "Мероприятия по возмещению наносимого вреда, в случае необходимости, по результатам "Оценки воздействия на ВБР", в результате проведения работ по проектной документации</t>
  </si>
  <si>
    <t>Договор поставки оборудования: Стеклопластиковый распределительный колодец , комплексная система очистки поверхностных сточных вод , канализационная насосная станция , здание доотчистки поверхностных сточных вод для размещения установки ультрафиолетового обеззараживания.</t>
  </si>
  <si>
    <t>19/07/09-П-Л</t>
  </si>
  <si>
    <t>05/08/19-ШМ-Х</t>
  </si>
  <si>
    <t>058.08.2019</t>
  </si>
  <si>
    <t>Договор на шефмонтаж оборудования: Стеклопластиковый распределительный колодец , комплексная система очистки поверхностных сточных вод, канализационная насосная станция, здание доочистки поверхностных сточных вод для размещения установки ультрафиолетового обеззараживания.</t>
  </si>
  <si>
    <t>05/08/19-ШМ-Л</t>
  </si>
  <si>
    <t>05.08.2019</t>
  </si>
  <si>
    <t>счет№902</t>
  </si>
  <si>
    <t>06.10.2016</t>
  </si>
  <si>
    <t>15713</t>
  </si>
  <si>
    <t>№867</t>
  </si>
  <si>
    <t>счет AUF-00004239</t>
  </si>
  <si>
    <t>128</t>
  </si>
  <si>
    <t>счет 84643</t>
  </si>
  <si>
    <t>13582</t>
  </si>
  <si>
    <t>3870</t>
  </si>
  <si>
    <t>28.04.206</t>
  </si>
  <si>
    <t>3866</t>
  </si>
  <si>
    <t xml:space="preserve">счет 5627 </t>
  </si>
  <si>
    <t>4623</t>
  </si>
  <si>
    <t>4622</t>
  </si>
  <si>
    <t>4621</t>
  </si>
  <si>
    <t>счет №366</t>
  </si>
  <si>
    <t>счет №ЭНЕЦГ16/50</t>
  </si>
  <si>
    <t>3210</t>
  </si>
  <si>
    <t xml:space="preserve">счет№004 </t>
  </si>
  <si>
    <t>310</t>
  </si>
  <si>
    <t>2806</t>
  </si>
  <si>
    <t>счет№041</t>
  </si>
  <si>
    <t>12.07.2017</t>
  </si>
  <si>
    <t>39785</t>
  </si>
  <si>
    <t>счет№67</t>
  </si>
  <si>
    <t>19.12.2016</t>
  </si>
  <si>
    <t>счет№18</t>
  </si>
  <si>
    <t>51345</t>
  </si>
  <si>
    <t>счет№16</t>
  </si>
  <si>
    <t>50824</t>
  </si>
  <si>
    <t>счет №497</t>
  </si>
  <si>
    <t>20.06.2017</t>
  </si>
  <si>
    <t>ООО "Сосна-центр"</t>
  </si>
  <si>
    <t>счет№9685</t>
  </si>
  <si>
    <t>29.12.2016</t>
  </si>
  <si>
    <t>ООО "Сергей"</t>
  </si>
  <si>
    <t>счет№0000000009</t>
  </si>
  <si>
    <t>12.01.2017</t>
  </si>
  <si>
    <t>счет №750,</t>
  </si>
  <si>
    <t>17.07.2017</t>
  </si>
  <si>
    <t>счет№84</t>
  </si>
  <si>
    <t>счет№38</t>
  </si>
  <si>
    <t>счет№32</t>
  </si>
  <si>
    <t>счет№163</t>
  </si>
  <si>
    <t>07.09.2017</t>
  </si>
  <si>
    <t>счет№112</t>
  </si>
  <si>
    <t>счет№173</t>
  </si>
  <si>
    <t>счет№</t>
  </si>
  <si>
    <t>ООО "Информационные технологии"</t>
  </si>
  <si>
    <t>счет 2791</t>
  </si>
  <si>
    <t>25.10.2016</t>
  </si>
  <si>
    <t>19471</t>
  </si>
  <si>
    <t>счет 3169</t>
  </si>
  <si>
    <t>19441</t>
  </si>
  <si>
    <t>счет2799</t>
  </si>
  <si>
    <t>19470</t>
  </si>
  <si>
    <t>30529</t>
  </si>
  <si>
    <t>30472</t>
  </si>
  <si>
    <t>30417</t>
  </si>
  <si>
    <t>30294</t>
  </si>
  <si>
    <t>30125</t>
  </si>
  <si>
    <t>30086</t>
  </si>
  <si>
    <t>30009</t>
  </si>
  <si>
    <t>29821</t>
  </si>
  <si>
    <t>30777</t>
  </si>
  <si>
    <t>30645</t>
  </si>
  <si>
    <t>30592</t>
  </si>
  <si>
    <t>Счет№СИ00125835</t>
  </si>
  <si>
    <t>25.07.2017</t>
  </si>
  <si>
    <t>39769</t>
  </si>
  <si>
    <t>Счет№СИ00049245</t>
  </si>
  <si>
    <t>30800</t>
  </si>
  <si>
    <t>09.03.2017</t>
  </si>
  <si>
    <t xml:space="preserve">Счет№12 </t>
  </si>
  <si>
    <t>ООО "Евроток"</t>
  </si>
  <si>
    <t>счет№3724</t>
  </si>
  <si>
    <t>11.08.2017</t>
  </si>
  <si>
    <t>счет№3566</t>
  </si>
  <si>
    <t>ИП Гололобов Игорь Александрович</t>
  </si>
  <si>
    <t>счет№3</t>
  </si>
  <si>
    <t>03.02.2017</t>
  </si>
  <si>
    <t>счет№2</t>
  </si>
  <si>
    <t>29379</t>
  </si>
  <si>
    <r>
      <t xml:space="preserve">Инженерные изыскания         </t>
    </r>
    <r>
      <rPr>
        <b/>
        <sz val="12"/>
        <rFont val="Times New Roman"/>
        <family val="1"/>
        <charset val="204"/>
      </rPr>
      <t xml:space="preserve"> (ООО "ГеоДриллинг")</t>
    </r>
  </si>
  <si>
    <r>
      <t>Разработка проектной и рабочей документации строительства новых производственных площадей)</t>
    </r>
    <r>
      <rPr>
        <b/>
        <sz val="12"/>
        <rFont val="Times New Roman"/>
        <family val="1"/>
        <charset val="204"/>
      </rPr>
      <t xml:space="preserve"> ООО "Проектная мастерская "Престиж"</t>
    </r>
  </si>
  <si>
    <r>
      <t xml:space="preserve">Затраты на право застройки и аренду земельного участка(ту) </t>
    </r>
    <r>
      <rPr>
        <b/>
        <sz val="12"/>
        <rFont val="Times New Roman"/>
        <family val="1"/>
        <charset val="204"/>
      </rPr>
      <t>ООО "Проектная мастерская "Престиж"</t>
    </r>
  </si>
  <si>
    <r>
      <rPr>
        <b/>
        <sz val="12"/>
        <color theme="1"/>
        <rFont val="Times New Roman"/>
        <family val="1"/>
        <charset val="204"/>
      </rPr>
      <t xml:space="preserve">ИП Крылков Юрий Алексеевич </t>
    </r>
    <r>
      <rPr>
        <sz val="12"/>
        <color theme="1"/>
        <rFont val="Times New Roman"/>
        <family val="1"/>
        <charset val="204"/>
      </rPr>
      <t>Оплата за трубы для утепления теплотрассы к системе вентиляции</t>
    </r>
  </si>
  <si>
    <r>
      <rPr>
        <b/>
        <sz val="12"/>
        <color theme="1"/>
        <rFont val="Times New Roman"/>
        <family val="1"/>
        <charset val="204"/>
      </rPr>
      <t>ИП Савин Алексей Александрови</t>
    </r>
    <r>
      <rPr>
        <sz val="12"/>
        <color theme="1"/>
        <rFont val="Times New Roman"/>
        <family val="1"/>
        <charset val="204"/>
      </rPr>
      <t>ч Расходные материалы для вентиляции в покрасочно-сушильный комплекс</t>
    </r>
  </si>
  <si>
    <r>
      <rPr>
        <b/>
        <sz val="12"/>
        <color theme="1"/>
        <rFont val="Times New Roman"/>
        <family val="1"/>
        <charset val="204"/>
      </rPr>
      <t>ИП САЗОНОВ АЛЕКСЕЙ ПАВЛОВИЧ</t>
    </r>
    <r>
      <rPr>
        <sz val="12"/>
        <color theme="1"/>
        <rFont val="Times New Roman"/>
        <family val="1"/>
        <charset val="204"/>
      </rPr>
      <t xml:space="preserve"> Оплата за ТМЦ для монтажа системы отопления инженерного корпуса</t>
    </r>
  </si>
  <si>
    <r>
      <rPr>
        <b/>
        <sz val="12"/>
        <color theme="1"/>
        <rFont val="Times New Roman"/>
        <family val="1"/>
        <charset val="204"/>
      </rPr>
      <t>ИП САЗОНОВ АЛЕКСЕЙ ПАВЛОВИЧ</t>
    </r>
    <r>
      <rPr>
        <sz val="12"/>
        <color theme="1"/>
        <rFont val="Times New Roman"/>
        <family val="1"/>
        <charset val="204"/>
      </rPr>
      <t xml:space="preserve"> Оплата за материалы для монтажа канализации в инженерном корпусе </t>
    </r>
  </si>
  <si>
    <r>
      <rPr>
        <b/>
        <sz val="12"/>
        <color theme="1"/>
        <rFont val="Times New Roman"/>
        <family val="1"/>
        <charset val="204"/>
      </rPr>
      <t>ИП САЗОНОВ АЛЕКСЕЙ ПАВЛОВИЧ</t>
    </r>
    <r>
      <rPr>
        <sz val="12"/>
        <color theme="1"/>
        <rFont val="Times New Roman"/>
        <family val="1"/>
        <charset val="204"/>
      </rPr>
      <t xml:space="preserve"> Оплата за материалы для противопожарного водопровода</t>
    </r>
  </si>
  <si>
    <r>
      <rPr>
        <b/>
        <sz val="12"/>
        <color theme="1"/>
        <rFont val="Times New Roman"/>
        <family val="1"/>
        <charset val="204"/>
      </rPr>
      <t>ИП САЗОНОВ АЛЕКСЕЙ ПАВЛОВИЧ</t>
    </r>
    <r>
      <rPr>
        <sz val="12"/>
        <color theme="1"/>
        <rFont val="Times New Roman"/>
        <family val="1"/>
        <charset val="204"/>
      </rPr>
      <t xml:space="preserve"> Оплата за канализационные трубы</t>
    </r>
  </si>
  <si>
    <r>
      <rPr>
        <b/>
        <sz val="12"/>
        <color theme="1"/>
        <rFont val="Times New Roman"/>
        <family val="1"/>
        <charset val="204"/>
      </rPr>
      <t>ИП САЗОНОВ АЛЕКСЕЙ ПАВЛОВ</t>
    </r>
    <r>
      <rPr>
        <sz val="12"/>
        <color theme="1"/>
        <rFont val="Times New Roman"/>
        <family val="1"/>
        <charset val="204"/>
      </rPr>
      <t>ИЧ        Оплата за монтаж вентиляции</t>
    </r>
  </si>
  <si>
    <r>
      <rPr>
        <b/>
        <sz val="12"/>
        <color theme="1"/>
        <rFont val="Times New Roman"/>
        <family val="1"/>
        <charset val="204"/>
      </rPr>
      <t xml:space="preserve">ООО "А Групп" </t>
    </r>
    <r>
      <rPr>
        <sz val="12"/>
        <color theme="1"/>
        <rFont val="Times New Roman"/>
        <family val="1"/>
        <charset val="204"/>
      </rPr>
      <t xml:space="preserve">Оплата за металл для изготовления стапеля к роботизированному комплексу </t>
    </r>
  </si>
  <si>
    <r>
      <rPr>
        <b/>
        <sz val="12"/>
        <color theme="1"/>
        <rFont val="Times New Roman"/>
        <family val="1"/>
        <charset val="204"/>
      </rPr>
      <t>ООО "А Групп"</t>
    </r>
    <r>
      <rPr>
        <sz val="12"/>
        <color theme="1"/>
        <rFont val="Times New Roman"/>
        <family val="1"/>
        <charset val="204"/>
      </rPr>
      <t xml:space="preserve"> Металл для монтажа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</si>
  <si>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 xml:space="preserve">ООО "АВАНГАРД-СТРОЙ" </t>
    </r>
    <r>
      <rPr>
        <sz val="12"/>
        <color theme="1"/>
        <rFont val="Times New Roman"/>
        <family val="1"/>
        <charset val="204"/>
      </rPr>
      <t>Оплата за материалы и оборудование для вентиляции</t>
    </r>
  </si>
  <si>
    <r>
      <rPr>
        <b/>
        <sz val="12"/>
        <color theme="1"/>
        <rFont val="Times New Roman"/>
        <family val="1"/>
        <charset val="204"/>
      </rPr>
      <t xml:space="preserve"> ООО "АВАНГАРД-СТРОЙ"</t>
    </r>
    <r>
      <rPr>
        <sz val="12"/>
        <color theme="1"/>
        <rFont val="Times New Roman"/>
        <family val="1"/>
        <charset val="204"/>
      </rPr>
      <t xml:space="preserve"> Оплата за монтаж вентиляции</t>
    </r>
  </si>
  <si>
    <r>
      <rPr>
        <b/>
        <sz val="12"/>
        <color theme="1"/>
        <rFont val="Times New Roman"/>
        <family val="1"/>
        <charset val="204"/>
      </rPr>
      <t>ООО "АВАНГАРД-СТРОЙ"</t>
    </r>
    <r>
      <rPr>
        <sz val="12"/>
        <color theme="1"/>
        <rFont val="Times New Roman"/>
        <family val="1"/>
        <charset val="204"/>
      </rPr>
      <t xml:space="preserve"> Комплектация и монтаж вентиляции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</si>
  <si>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"АРМАДА-СТРОЙ"</t>
    </r>
    <r>
      <rPr>
        <sz val="12"/>
        <color theme="1"/>
        <rFont val="Times New Roman"/>
        <family val="1"/>
        <charset val="204"/>
      </rPr>
      <t>Оплата за проект вентиляции</t>
    </r>
  </si>
  <si>
    <r>
      <rPr>
        <b/>
        <sz val="12"/>
        <color theme="1"/>
        <rFont val="Times New Roman"/>
        <family val="1"/>
        <charset val="204"/>
      </rPr>
      <t>ООО "АРМАДА-СТРОЙ"</t>
    </r>
    <r>
      <rPr>
        <sz val="12"/>
        <color theme="1"/>
        <rFont val="Times New Roman"/>
        <family val="1"/>
        <charset val="204"/>
      </rPr>
      <t xml:space="preserve"> Аванс по дог.№16 от 14.02.2017 системы вентиляции</t>
    </r>
  </si>
  <si>
    <r>
      <rPr>
        <b/>
        <sz val="12"/>
        <color theme="1"/>
        <rFont val="Times New Roman"/>
        <family val="1"/>
        <charset val="204"/>
      </rPr>
      <t xml:space="preserve">ООО "АРМАДА-СТРОЙ" </t>
    </r>
    <r>
      <rPr>
        <sz val="12"/>
        <color theme="1"/>
        <rFont val="Times New Roman"/>
        <family val="1"/>
        <charset val="204"/>
      </rPr>
      <t xml:space="preserve">  Вентиляция второй очереди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</si>
  <si>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 "АРМАДА-СТРОЙ"</t>
    </r>
    <r>
      <rPr>
        <sz val="12"/>
        <color theme="1"/>
        <rFont val="Times New Roman"/>
        <family val="1"/>
        <charset val="204"/>
      </rPr>
      <t xml:space="preserve">   Материалы для монтажа второй очереди ПСК</t>
    </r>
  </si>
  <si>
    <r>
      <rPr>
        <b/>
        <sz val="12"/>
        <color theme="1"/>
        <rFont val="Times New Roman"/>
        <family val="1"/>
        <charset val="204"/>
      </rPr>
      <t xml:space="preserve">ООО "Бауторг" </t>
    </r>
    <r>
      <rPr>
        <sz val="12"/>
        <color theme="1"/>
        <rFont val="Times New Roman"/>
        <family val="1"/>
        <charset val="204"/>
      </rPr>
      <t>Материалы для вентиляции МСЦ №2</t>
    </r>
  </si>
  <si>
    <r>
      <rPr>
        <b/>
        <sz val="12"/>
        <color theme="1"/>
        <rFont val="Times New Roman"/>
        <family val="1"/>
        <charset val="204"/>
      </rPr>
      <t>ООО "Большой Дом</t>
    </r>
    <r>
      <rPr>
        <sz val="12"/>
        <color theme="1"/>
        <rFont val="Times New Roman"/>
        <family val="1"/>
        <charset val="204"/>
      </rPr>
      <t>"Оплата за материалы для лестницы в инженерном корпусе</t>
    </r>
  </si>
  <si>
    <r>
      <rPr>
        <b/>
        <sz val="12"/>
        <color theme="1"/>
        <rFont val="Times New Roman"/>
        <family val="1"/>
        <charset val="204"/>
      </rPr>
      <t>ООО "Большой Дом"</t>
    </r>
    <r>
      <rPr>
        <sz val="12"/>
        <color theme="1"/>
        <rFont val="Times New Roman"/>
        <family val="1"/>
        <charset val="204"/>
      </rPr>
      <t>Покупка плитки для второго этажа инж.корпуса</t>
    </r>
  </si>
  <si>
    <r>
      <rPr>
        <b/>
        <sz val="12"/>
        <color theme="1"/>
        <rFont val="Times New Roman"/>
        <family val="1"/>
        <charset val="204"/>
      </rPr>
      <t>ООО "Большой Дом"</t>
    </r>
    <r>
      <rPr>
        <sz val="12"/>
        <color theme="1"/>
        <rFont val="Times New Roman"/>
        <family val="1"/>
        <charset val="204"/>
      </rPr>
      <t>За гранит (инженерный корпус)</t>
    </r>
  </si>
  <si>
    <r>
      <rPr>
        <b/>
        <sz val="12"/>
        <color theme="1"/>
        <rFont val="Times New Roman"/>
        <family val="1"/>
        <charset val="204"/>
      </rPr>
      <t>ООО "Геокадастр"</t>
    </r>
    <r>
      <rPr>
        <sz val="12"/>
        <color theme="1"/>
        <rFont val="Times New Roman"/>
        <family val="1"/>
        <charset val="204"/>
      </rPr>
      <t>Оплата за изготовление техплана</t>
    </r>
  </si>
  <si>
    <r>
      <rPr>
        <b/>
        <sz val="12"/>
        <color theme="1"/>
        <rFont val="Times New Roman"/>
        <family val="1"/>
        <charset val="204"/>
      </rPr>
      <t>ООО "Группа Компаний Виолет"</t>
    </r>
    <r>
      <rPr>
        <sz val="12"/>
        <color theme="1"/>
        <rFont val="Times New Roman"/>
        <family val="1"/>
        <charset val="204"/>
      </rPr>
      <t>Оплата за стеновые панели и комплектующие к ним для отделки инженерного корпуса</t>
    </r>
  </si>
  <si>
    <r>
      <rPr>
        <b/>
        <sz val="12"/>
        <color theme="1"/>
        <rFont val="Times New Roman"/>
        <family val="1"/>
        <charset val="204"/>
      </rPr>
      <t>ООО "Группа Компаний Виолет"</t>
    </r>
    <r>
      <rPr>
        <sz val="12"/>
        <color theme="1"/>
        <rFont val="Times New Roman"/>
        <family val="1"/>
        <charset val="204"/>
      </rPr>
      <t xml:space="preserve"> Панель</t>
    </r>
  </si>
  <si>
    <r>
      <rPr>
        <b/>
        <sz val="12"/>
        <color theme="1"/>
        <rFont val="Times New Roman"/>
        <family val="1"/>
        <charset val="204"/>
      </rPr>
      <t>ООО "ДЕДАЛ"</t>
    </r>
    <r>
      <rPr>
        <sz val="12"/>
        <color theme="1"/>
        <rFont val="Times New Roman"/>
        <family val="1"/>
        <charset val="204"/>
      </rPr>
      <t>Оплата за кольца для канализации в инженерном корпусе</t>
    </r>
  </si>
  <si>
    <r>
      <rPr>
        <b/>
        <sz val="12"/>
        <color theme="1"/>
        <rFont val="Times New Roman"/>
        <family val="1"/>
        <charset val="204"/>
      </rPr>
      <t>ООО "Жесть"</t>
    </r>
    <r>
      <rPr>
        <sz val="12"/>
        <color theme="1"/>
        <rFont val="Times New Roman"/>
        <family val="1"/>
        <charset val="204"/>
      </rPr>
      <t>Оплата за работы по отделке инженерного корпуса за январь 2017 согласно акта выполненных работ</t>
    </r>
  </si>
  <si>
    <r>
      <rPr>
        <b/>
        <sz val="12"/>
        <color theme="1"/>
        <rFont val="Times New Roman"/>
        <family val="1"/>
        <charset val="204"/>
      </rPr>
      <t>ООО "Жесть"</t>
    </r>
    <r>
      <rPr>
        <sz val="12"/>
        <color theme="1"/>
        <rFont val="Times New Roman"/>
        <family val="1"/>
        <charset val="204"/>
      </rPr>
      <t>Оплата по акту выполненных работ по отделке инженерного корпуса за февраль 2017</t>
    </r>
  </si>
  <si>
    <r>
      <rPr>
        <b/>
        <sz val="12"/>
        <color theme="1"/>
        <rFont val="Times New Roman"/>
        <family val="1"/>
        <charset val="204"/>
      </rPr>
      <t>ООО "Жесть"</t>
    </r>
    <r>
      <rPr>
        <sz val="12"/>
        <color theme="1"/>
        <rFont val="Times New Roman"/>
        <family val="1"/>
        <charset val="204"/>
      </rPr>
      <t xml:space="preserve"> Выполнение части работ по отделке инженерного корпуса</t>
    </r>
  </si>
  <si>
    <r>
      <rPr>
        <b/>
        <sz val="12"/>
        <color theme="1"/>
        <rFont val="Times New Roman"/>
        <family val="1"/>
        <charset val="204"/>
      </rPr>
      <t>ООО "Жесть"</t>
    </r>
    <r>
      <rPr>
        <sz val="12"/>
        <color theme="1"/>
        <rFont val="Times New Roman"/>
        <family val="1"/>
        <charset val="204"/>
      </rPr>
      <t>Отделка инженерного корпуса (оплата за апрель)</t>
    </r>
  </si>
  <si>
    <r>
      <rPr>
        <b/>
        <sz val="12"/>
        <color theme="1"/>
        <rFont val="Times New Roman"/>
        <family val="1"/>
        <charset val="204"/>
      </rPr>
      <t>ООО "Жесть"</t>
    </r>
    <r>
      <rPr>
        <sz val="12"/>
        <color theme="1"/>
        <rFont val="Times New Roman"/>
        <family val="1"/>
        <charset val="204"/>
      </rPr>
      <t>Отделочные работы в инженерном корпусе</t>
    </r>
  </si>
  <si>
    <r>
      <rPr>
        <b/>
        <sz val="12"/>
        <color theme="1"/>
        <rFont val="Times New Roman"/>
        <family val="1"/>
        <charset val="204"/>
      </rPr>
      <t>ООО "Жесть</t>
    </r>
    <r>
      <rPr>
        <sz val="12"/>
        <color theme="1"/>
        <rFont val="Times New Roman"/>
        <family val="1"/>
        <charset val="204"/>
      </rPr>
      <t>"Отделочные работы в инженерном корпусе</t>
    </r>
  </si>
  <si>
    <r>
      <rPr>
        <b/>
        <sz val="12"/>
        <color theme="1"/>
        <rFont val="Times New Roman"/>
        <family val="1"/>
        <charset val="204"/>
      </rPr>
      <t>ООО "Зеленая кровля"</t>
    </r>
    <r>
      <rPr>
        <sz val="12"/>
        <color theme="1"/>
        <rFont val="Times New Roman"/>
        <family val="1"/>
        <charset val="204"/>
      </rPr>
      <t>Оплата за ТМЦ для воздуховодов вентиляции МСЦ</t>
    </r>
  </si>
  <si>
    <r>
      <rPr>
        <b/>
        <sz val="12"/>
        <color theme="1"/>
        <rFont val="Times New Roman"/>
        <family val="1"/>
        <charset val="204"/>
      </rPr>
      <t>ООО "Инженернй центр-СБ"</t>
    </r>
    <r>
      <rPr>
        <sz val="12"/>
        <color theme="1"/>
        <rFont val="Times New Roman"/>
        <family val="1"/>
        <charset val="204"/>
      </rPr>
      <t>Материалы для пожарной сигнализации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</si>
  <si>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 "КТМ СОЮЗ"</t>
    </r>
    <r>
      <rPr>
        <sz val="12"/>
        <color theme="1"/>
        <rFont val="Times New Roman"/>
        <family val="1"/>
        <charset val="204"/>
      </rPr>
      <t>Сантехнические перегородки в санузел первого этжа инженерного корпуса</t>
    </r>
  </si>
  <si>
    <r>
      <rPr>
        <b/>
        <sz val="12"/>
        <color theme="1"/>
        <rFont val="Times New Roman"/>
        <family val="1"/>
        <charset val="204"/>
      </rPr>
      <t>ООО "Ландиа ТМ"</t>
    </r>
    <r>
      <rPr>
        <sz val="12"/>
        <color theme="1"/>
        <rFont val="Times New Roman"/>
        <family val="1"/>
        <charset val="204"/>
      </rPr>
      <t>Оплата за радиаторы для монтажа системы отопления инженерного корпуса</t>
    </r>
  </si>
  <si>
    <r>
      <rPr>
        <b/>
        <sz val="12"/>
        <color theme="1"/>
        <rFont val="Times New Roman"/>
        <family val="1"/>
        <charset val="204"/>
      </rPr>
      <t>ООО "ЛТ-Электро"</t>
    </r>
    <r>
      <rPr>
        <sz val="12"/>
        <color theme="1"/>
        <rFont val="Times New Roman"/>
        <family val="1"/>
        <charset val="204"/>
      </rPr>
      <t>Оплата за комплекты электрооборудования для проводки в инж корпусе</t>
    </r>
  </si>
  <si>
    <r>
      <rPr>
        <b/>
        <sz val="12"/>
        <color theme="1"/>
        <rFont val="Times New Roman"/>
        <family val="1"/>
        <charset val="204"/>
      </rPr>
      <t>ООО "МаГус"</t>
    </r>
    <r>
      <rPr>
        <sz val="12"/>
        <color theme="1"/>
        <rFont val="Times New Roman"/>
        <family val="1"/>
        <charset val="204"/>
      </rPr>
      <t>Оплата за металл для монтажа металлического настила пола</t>
    </r>
  </si>
  <si>
    <r>
      <rPr>
        <b/>
        <sz val="12"/>
        <color theme="1"/>
        <rFont val="Times New Roman"/>
        <family val="1"/>
        <charset val="204"/>
      </rPr>
      <t>ООО "МаГус"</t>
    </r>
    <r>
      <rPr>
        <sz val="12"/>
        <color theme="1"/>
        <rFont val="Times New Roman"/>
        <family val="1"/>
        <charset val="204"/>
      </rPr>
      <t>Оплата за металл</t>
    </r>
  </si>
  <si>
    <r>
      <rPr>
        <b/>
        <sz val="12"/>
        <color theme="1"/>
        <rFont val="Times New Roman"/>
        <family val="1"/>
        <charset val="204"/>
      </rPr>
      <t>ООО "Маклиф"</t>
    </r>
    <r>
      <rPr>
        <sz val="12"/>
        <color theme="1"/>
        <rFont val="Times New Roman"/>
        <family val="1"/>
        <charset val="204"/>
      </rPr>
      <t>Оплата за плиточный клей</t>
    </r>
  </si>
  <si>
    <r>
      <rPr>
        <b/>
        <sz val="12"/>
        <color theme="1"/>
        <rFont val="Times New Roman"/>
        <family val="1"/>
        <charset val="204"/>
      </rPr>
      <t>ООО "Маклиф"</t>
    </r>
    <r>
      <rPr>
        <sz val="12"/>
        <color theme="1"/>
        <rFont val="Times New Roman"/>
        <family val="1"/>
        <charset val="204"/>
      </rPr>
      <t>стройматериалы</t>
    </r>
  </si>
  <si>
    <r>
      <rPr>
        <b/>
        <sz val="12"/>
        <color theme="1"/>
        <rFont val="Times New Roman"/>
        <family val="1"/>
        <charset val="204"/>
      </rPr>
      <t>ООО "Маклиф"</t>
    </r>
    <r>
      <rPr>
        <sz val="12"/>
        <color theme="1"/>
        <rFont val="Times New Roman"/>
        <family val="1"/>
        <charset val="204"/>
      </rPr>
      <t>Клей плиточный для отделки второго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</si>
  <si>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>ООО "Маклиф"</t>
    </r>
    <r>
      <rPr>
        <sz val="12"/>
        <color theme="1"/>
        <rFont val="Times New Roman"/>
        <family val="1"/>
        <charset val="204"/>
      </rPr>
      <t>Плиточный клей в инженерный комплес</t>
    </r>
  </si>
  <si>
    <r>
      <rPr>
        <b/>
        <sz val="12"/>
        <color theme="1"/>
        <rFont val="Times New Roman"/>
        <family val="1"/>
        <charset val="204"/>
      </rPr>
      <t>ООО "МАКС-СТРОЙ"</t>
    </r>
    <r>
      <rPr>
        <sz val="12"/>
        <color theme="1"/>
        <rFont val="Times New Roman"/>
        <family val="1"/>
        <charset val="204"/>
      </rPr>
      <t xml:space="preserve"> Оплата за стройматериалы для полов в инженерном корпусе</t>
    </r>
  </si>
  <si>
    <r>
      <rPr>
        <b/>
        <sz val="12"/>
        <color theme="1"/>
        <rFont val="Times New Roman"/>
        <family val="1"/>
        <charset val="204"/>
      </rPr>
      <t>ООО "Маристо"</t>
    </r>
    <r>
      <rPr>
        <sz val="12"/>
        <color theme="1"/>
        <rFont val="Times New Roman"/>
        <family val="1"/>
        <charset val="204"/>
      </rPr>
      <t>Сантехнические перегородки в санузел первого этжа инженерного корпуса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</si>
  <si>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Оплата за окна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</si>
  <si>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Оплата за двери и доводчики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</si>
  <si>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Оплата за двери в инженерном корпусе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</si>
  <si>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 xml:space="preserve">Оплата за двери в инженерном корпусе 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</si>
  <si>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Оплата за противопожарную дверь в инженерный корпус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</si>
  <si>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Изготовление и монтаж перегородки из алюминия на первом этаже инж.корпуса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</si>
  <si>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оплата за двери и наличники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</si>
  <si>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конструкция из алюминия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</si>
  <si>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Дверь в инженерном корпусе</t>
    </r>
  </si>
  <si>
    <r>
      <rPr>
        <b/>
        <sz val="12"/>
        <color theme="1"/>
        <rFont val="Times New Roman"/>
        <family val="1"/>
        <charset val="204"/>
      </rPr>
      <t xml:space="preserve">ООО "МАСТЕР СИТИ" </t>
    </r>
    <r>
      <rPr>
        <sz val="12"/>
        <color theme="1"/>
        <rFont val="Times New Roman"/>
        <family val="1"/>
        <charset val="204"/>
      </rPr>
      <t>Дверь в инженерном корпусе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</si>
  <si>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Изготовление и монтаж конструкций на 1-м этаже инженерного корпуса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</si>
  <si>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за тмц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</si>
  <si>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жалюзи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</si>
  <si>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стеклопакеты</t>
    </r>
  </si>
  <si>
    <r>
      <rPr>
        <b/>
        <sz val="12"/>
        <color theme="1"/>
        <rFont val="Times New Roman"/>
        <family val="1"/>
        <charset val="204"/>
      </rPr>
      <t xml:space="preserve">ООО "Металл-Трейд" </t>
    </r>
    <r>
      <rPr>
        <sz val="12"/>
        <color theme="1"/>
        <rFont val="Times New Roman"/>
        <family val="1"/>
        <charset val="204"/>
      </rPr>
      <t>За ограждения из нержавеющей мстали для лестницы в инженерном корпусе</t>
    </r>
  </si>
  <si>
    <r>
      <rPr>
        <b/>
        <sz val="12"/>
        <color theme="1"/>
        <rFont val="Times New Roman"/>
        <family val="1"/>
        <charset val="204"/>
      </rPr>
      <t>ООО "МОСКОВСКИЕ СИСТЕМЫ БЕЗОПАСНОСТИ"</t>
    </r>
    <r>
      <rPr>
        <sz val="12"/>
        <color theme="1"/>
        <rFont val="Times New Roman"/>
        <family val="1"/>
        <charset val="204"/>
      </rPr>
      <t xml:space="preserve">Оплата за комплектующие для пожарной сигнализации </t>
    </r>
  </si>
  <si>
    <r>
      <rPr>
        <b/>
        <sz val="12"/>
        <color theme="1"/>
        <rFont val="Times New Roman"/>
        <family val="1"/>
        <charset val="204"/>
      </rPr>
      <t>ООО "ПКФ "</t>
    </r>
    <r>
      <rPr>
        <sz val="12"/>
        <color theme="1"/>
        <rFont val="Times New Roman"/>
        <family val="1"/>
        <charset val="204"/>
      </rPr>
      <t>Электрон"Оплата за монтаж РУ для энергоснабжения инженерного корпуса</t>
    </r>
  </si>
  <si>
    <r>
      <rPr>
        <b/>
        <sz val="12"/>
        <color theme="1"/>
        <rFont val="Times New Roman"/>
        <family val="1"/>
        <charset val="204"/>
      </rPr>
      <t>ООО "ПКФ "Электрон"</t>
    </r>
    <r>
      <rPr>
        <sz val="12"/>
        <color theme="1"/>
        <rFont val="Times New Roman"/>
        <family val="1"/>
        <charset val="204"/>
      </rPr>
      <t>Оплата за работы по прокладке сетей в инженерном корпусе</t>
    </r>
  </si>
  <si>
    <r>
      <rPr>
        <b/>
        <sz val="12"/>
        <color theme="1"/>
        <rFont val="Times New Roman"/>
        <family val="1"/>
        <charset val="204"/>
      </rPr>
      <t>ООО "ПКФ "Электрон"</t>
    </r>
    <r>
      <rPr>
        <sz val="12"/>
        <color theme="1"/>
        <rFont val="Times New Roman"/>
        <family val="1"/>
        <charset val="204"/>
      </rPr>
      <t>Оплата за выполенные работы по монтажу электросети и освещению в новой дробеструйной камере</t>
    </r>
  </si>
  <si>
    <r>
      <rPr>
        <b/>
        <sz val="12"/>
        <color theme="1"/>
        <rFont val="Times New Roman"/>
        <family val="1"/>
        <charset val="204"/>
      </rPr>
      <t>ООО "ПРАЙД"</t>
    </r>
    <r>
      <rPr>
        <sz val="12"/>
        <color theme="1"/>
        <rFont val="Times New Roman"/>
        <family val="1"/>
        <charset val="204"/>
      </rPr>
      <t xml:space="preserve">Оплата за светильник </t>
    </r>
  </si>
  <si>
    <r>
      <rPr>
        <b/>
        <sz val="12"/>
        <color theme="1"/>
        <rFont val="Times New Roman"/>
        <family val="1"/>
        <charset val="204"/>
      </rPr>
      <t>ООО "ПРЕСТИЖ ПРОЕКТНАЯ МАСТЕРСКАЯ"</t>
    </r>
    <r>
      <rPr>
        <sz val="12"/>
        <color theme="1"/>
        <rFont val="Times New Roman"/>
        <family val="1"/>
        <charset val="204"/>
      </rPr>
      <t xml:space="preserve">Оплата за разработку проекта усиления ферм кровли </t>
    </r>
  </si>
  <si>
    <r>
      <rPr>
        <b/>
        <sz val="12"/>
        <color theme="1"/>
        <rFont val="Times New Roman"/>
        <family val="1"/>
        <charset val="204"/>
      </rPr>
      <t>ООО "ПРЕСТИЖ ПРОЕКТНАЯ МАСТЕРСКАЯ</t>
    </r>
    <r>
      <rPr>
        <sz val="12"/>
        <color theme="1"/>
        <rFont val="Times New Roman"/>
        <family val="1"/>
        <charset val="204"/>
      </rPr>
      <t>"Оплата за услуги проектирования</t>
    </r>
  </si>
  <si>
    <r>
      <rPr>
        <b/>
        <sz val="12"/>
        <color theme="1"/>
        <rFont val="Times New Roman"/>
        <family val="1"/>
        <charset val="204"/>
      </rPr>
      <t>ООО "ПРЕСТИЖ ПРОЕКТНАЯ МАСТЕРСКАЯ"</t>
    </r>
    <r>
      <rPr>
        <sz val="12"/>
        <color theme="1"/>
        <rFont val="Times New Roman"/>
        <family val="1"/>
        <charset val="204"/>
      </rPr>
      <t>Оплата за корректировку проектной документации</t>
    </r>
  </si>
  <si>
    <r>
      <rPr>
        <b/>
        <sz val="12"/>
        <color theme="1"/>
        <rFont val="Times New Roman"/>
        <family val="1"/>
        <charset val="204"/>
      </rPr>
      <t>ООО "ПРЕСТИЖ ПРОЕКТНАЯ МАСТЕРСКАЯ"</t>
    </r>
    <r>
      <rPr>
        <sz val="12"/>
        <color theme="1"/>
        <rFont val="Times New Roman"/>
        <family val="1"/>
        <charset val="204"/>
      </rPr>
      <t xml:space="preserve">Оплата за проект установки дробеструйной камеры </t>
    </r>
  </si>
  <si>
    <r>
      <rPr>
        <b/>
        <sz val="12"/>
        <color theme="1"/>
        <rFont val="Times New Roman"/>
        <family val="1"/>
        <charset val="204"/>
      </rPr>
      <t>ООО "ПРЕСТИЖ ПРОЕКТНАЯ МАСТЕРСКАЯ"</t>
    </r>
    <r>
      <rPr>
        <sz val="12"/>
        <color theme="1"/>
        <rFont val="Times New Roman"/>
        <family val="1"/>
        <charset val="204"/>
      </rPr>
      <t>Оплата за проект крепления монорельса к фермам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</si>
  <si>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Оплата за тех.заключение по результатам обследования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</si>
  <si>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Доплата за техзаключение по результатам обследования кровли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</si>
  <si>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Оплата за оформление энергетического паспорта МСЦ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</si>
  <si>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Оплата за проект окрасочных камер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</si>
  <si>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Оплата за проект крепления монорельса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</si>
  <si>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Корректировка проекта инженерного корпуса в части раздела кондиционирование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</si>
  <si>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Разработка проекта усиления подкран.балки покраски</t>
    </r>
  </si>
  <si>
    <r>
      <rPr>
        <b/>
        <sz val="12"/>
        <color theme="1"/>
        <rFont val="Times New Roman"/>
        <family val="1"/>
        <charset val="204"/>
      </rPr>
      <t>ООО "ПФК"Электрон"</t>
    </r>
    <r>
      <rPr>
        <sz val="12"/>
        <color theme="1"/>
        <rFont val="Times New Roman"/>
        <family val="1"/>
        <charset val="204"/>
      </rPr>
      <t>Оплата за электроосвещение помещений</t>
    </r>
  </si>
  <si>
    <r>
      <rPr>
        <b/>
        <sz val="12"/>
        <color theme="1"/>
        <rFont val="Times New Roman"/>
        <family val="1"/>
        <charset val="204"/>
      </rPr>
      <t>ООО "РеалСтиль"</t>
    </r>
    <r>
      <rPr>
        <sz val="12"/>
        <color theme="1"/>
        <rFont val="Times New Roman"/>
        <family val="1"/>
        <charset val="204"/>
      </rPr>
      <t>Оплата за за металлопрокат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</si>
  <si>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Предоплата за воздуховоды на вентиляцию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</si>
  <si>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Оплата за монтаж воздуховодов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</si>
  <si>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Оплата за воздуховоды для системы вентиляции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</si>
  <si>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Оплата поставку и монтаж оборудования для вентиляции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</si>
  <si>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Оплата за монтаж системы вентиляции в МСЦ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</si>
  <si>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Выполнение работ по дог.№45/2016 от 04.08.2016</t>
    </r>
  </si>
  <si>
    <r>
      <rPr>
        <b/>
        <sz val="12"/>
        <color theme="1"/>
        <rFont val="Times New Roman"/>
        <family val="1"/>
        <charset val="204"/>
      </rPr>
      <t>ООО "РУСМЕТПРОМ"</t>
    </r>
    <r>
      <rPr>
        <sz val="12"/>
        <color theme="1"/>
        <rFont val="Times New Roman"/>
        <family val="1"/>
        <charset val="204"/>
      </rPr>
      <t>Оплата за металл</t>
    </r>
  </si>
  <si>
    <r>
      <rPr>
        <b/>
        <sz val="12"/>
        <color theme="1"/>
        <rFont val="Times New Roman"/>
        <family val="1"/>
        <charset val="204"/>
      </rPr>
      <t>ООО "Сигма Металл"</t>
    </r>
    <r>
      <rPr>
        <sz val="12"/>
        <color theme="1"/>
        <rFont val="Times New Roman"/>
        <family val="1"/>
        <charset val="204"/>
      </rPr>
      <t>Оплата за металл для монтажа вентиляционного оборудования</t>
    </r>
  </si>
  <si>
    <r>
      <rPr>
        <b/>
        <sz val="12"/>
        <color theme="1"/>
        <rFont val="Times New Roman"/>
        <family val="1"/>
        <charset val="204"/>
      </rPr>
      <t>ООО "Сигма Металл"</t>
    </r>
    <r>
      <rPr>
        <sz val="12"/>
        <color theme="1"/>
        <rFont val="Times New Roman"/>
        <family val="1"/>
        <charset val="204"/>
      </rPr>
      <t>Оплата за трубы для воздушной трассы на дробеструйную камеру</t>
    </r>
  </si>
  <si>
    <r>
      <rPr>
        <b/>
        <sz val="12"/>
        <color theme="1"/>
        <rFont val="Times New Roman"/>
        <family val="1"/>
        <charset val="204"/>
      </rPr>
      <t>ООО "СИТРОН"</t>
    </r>
    <r>
      <rPr>
        <sz val="12"/>
        <color theme="1"/>
        <rFont val="Times New Roman"/>
        <family val="1"/>
        <charset val="204"/>
      </rPr>
      <t>Оплата за трубы для прокладки системы вентиляции в инженерном корпусе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</si>
  <si>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поставку и монтаж камеры дробеструйной обработки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</si>
  <si>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монтаж металлоконструкций дробеструйной камеры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</si>
  <si>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дополнительные услуги</t>
    </r>
  </si>
  <si>
    <r>
      <rPr>
        <b/>
        <sz val="12"/>
        <color theme="1"/>
        <rFont val="Times New Roman"/>
        <family val="1"/>
        <charset val="204"/>
      </rPr>
      <t>ООО "СК КЛЁСТ</t>
    </r>
    <r>
      <rPr>
        <sz val="12"/>
        <color theme="1"/>
        <rFont val="Times New Roman"/>
        <family val="1"/>
        <charset val="204"/>
      </rPr>
      <t>"Доплата за выполненные работы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</si>
  <si>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монтаж вентиляционных камер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</si>
  <si>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работы по монтажу вентиляционных камер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</si>
  <si>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работы по изготовлению и монтажу металлоконструкций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</si>
  <si>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Доплата по факту выполнения работ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</si>
  <si>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Выполнение первого этапа работ по монтажу покрасоно-сушильного комплекса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</si>
  <si>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Доп.согл.№1 от 24.04.2017, сч.85 от 24.04.2017 Устойство пола из сэндвич-панлей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</si>
  <si>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Монтаж/демонтаж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</si>
  <si>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Монтаж остекления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</si>
  <si>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Монтаж покрасочно-сушильной камеры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</si>
  <si>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Материалы для монтажа второй очереди ПСК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</si>
  <si>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Монтаж вентиляции</t>
    </r>
  </si>
  <si>
    <r>
      <rPr>
        <b/>
        <sz val="12"/>
        <color theme="1"/>
        <rFont val="Times New Roman"/>
        <family val="1"/>
        <charset val="204"/>
      </rPr>
      <t>ООО "СК КЛЁСТ</t>
    </r>
    <r>
      <rPr>
        <sz val="12"/>
        <color theme="1"/>
        <rFont val="Times New Roman"/>
        <family val="1"/>
        <charset val="204"/>
      </rPr>
      <t>"Монтаж покрасочно-сушильной камеры</t>
    </r>
  </si>
  <si>
    <r>
      <rPr>
        <b/>
        <sz val="12"/>
        <color theme="1"/>
        <rFont val="Times New Roman"/>
        <family val="1"/>
        <charset val="204"/>
      </rPr>
      <t>ООО "Стальмстиль"</t>
    </r>
    <r>
      <rPr>
        <sz val="12"/>
        <color theme="1"/>
        <rFont val="Times New Roman"/>
        <family val="1"/>
        <charset val="204"/>
      </rPr>
      <t>Ворота в покраску по договору №1104/17 от 11.04.2017</t>
    </r>
  </si>
  <si>
    <r>
      <rPr>
        <b/>
        <sz val="12"/>
        <color theme="1"/>
        <rFont val="Times New Roman"/>
        <family val="1"/>
        <charset val="204"/>
      </rPr>
      <t>ООО "СТРОИТЕЛЬНАЯ ЭКСПЕРТИЗА"</t>
    </r>
    <r>
      <rPr>
        <sz val="12"/>
        <color theme="1"/>
        <rFont val="Times New Roman"/>
        <family val="1"/>
        <charset val="204"/>
      </rPr>
      <t>Оплата за проведение экспертизы</t>
    </r>
  </si>
  <si>
    <r>
      <rPr>
        <b/>
        <sz val="12"/>
        <color theme="1"/>
        <rFont val="Times New Roman"/>
        <family val="1"/>
        <charset val="204"/>
      </rPr>
      <t>ООО "СТРОЙЛЕСМОНТАЖ"</t>
    </r>
    <r>
      <rPr>
        <sz val="12"/>
        <color theme="1"/>
        <rFont val="Times New Roman"/>
        <family val="1"/>
        <charset val="204"/>
      </rPr>
      <t>Оплата за систему кондиционирования</t>
    </r>
  </si>
  <si>
    <r>
      <rPr>
        <b/>
        <sz val="12"/>
        <color theme="1"/>
        <rFont val="Times New Roman"/>
        <family val="1"/>
        <charset val="204"/>
      </rPr>
      <t>ООО "СтройСпецМонтаж"</t>
    </r>
    <r>
      <rPr>
        <sz val="12"/>
        <color theme="1"/>
        <rFont val="Times New Roman"/>
        <family val="1"/>
        <charset val="204"/>
      </rPr>
      <t>Оплата за схему расположения инженерного корпуса (для ввода в эксплуатацию)</t>
    </r>
  </si>
  <si>
    <r>
      <rPr>
        <b/>
        <sz val="12"/>
        <color theme="1"/>
        <rFont val="Times New Roman"/>
        <family val="1"/>
        <charset val="204"/>
      </rPr>
      <t>ООО "СТРОМТЕХПРОЕКТ"</t>
    </r>
    <r>
      <rPr>
        <sz val="12"/>
        <color theme="1"/>
        <rFont val="Times New Roman"/>
        <family val="1"/>
        <charset val="204"/>
      </rPr>
      <t>Оплата за светильники</t>
    </r>
  </si>
  <si>
    <r>
      <rPr>
        <b/>
        <sz val="12"/>
        <color theme="1"/>
        <rFont val="Times New Roman"/>
        <family val="1"/>
        <charset val="204"/>
      </rPr>
      <t>ООО "Теблок"</t>
    </r>
    <r>
      <rPr>
        <sz val="12"/>
        <color theme="1"/>
        <rFont val="Times New Roman"/>
        <family val="1"/>
        <charset val="204"/>
      </rPr>
      <t>Ворота теплоизоляционные с автоматикой по дог.№01/07 от 07.07.2017</t>
    </r>
  </si>
  <si>
    <r>
      <rPr>
        <b/>
        <sz val="12"/>
        <color theme="1"/>
        <rFont val="Times New Roman"/>
        <family val="1"/>
        <charset val="204"/>
      </rPr>
      <t>ООО "Теблок"</t>
    </r>
    <r>
      <rPr>
        <sz val="12"/>
        <color theme="1"/>
        <rFont val="Times New Roman"/>
        <family val="1"/>
        <charset val="204"/>
      </rPr>
      <t>За ворота второй очереди ПСК</t>
    </r>
  </si>
  <si>
    <r>
      <rPr>
        <b/>
        <sz val="12"/>
        <color theme="1"/>
        <rFont val="Times New Roman"/>
        <family val="1"/>
        <charset val="204"/>
      </rPr>
      <t>ООО "Теплоимпорт ГК"</t>
    </r>
    <r>
      <rPr>
        <sz val="12"/>
        <color theme="1"/>
        <rFont val="Times New Roman"/>
        <family val="1"/>
        <charset val="204"/>
      </rPr>
      <t>Оплата за ТМЦ для монтажа системы отопления инженерного корпуса</t>
    </r>
  </si>
  <si>
    <r>
      <rPr>
        <b/>
        <sz val="12"/>
        <color theme="1"/>
        <rFont val="Times New Roman"/>
        <family val="1"/>
        <charset val="204"/>
      </rPr>
      <t>ООО "ТЕХНОАГРЕГАТ"</t>
    </r>
    <r>
      <rPr>
        <sz val="12"/>
        <color theme="1"/>
        <rFont val="Times New Roman"/>
        <family val="1"/>
        <charset val="204"/>
      </rPr>
      <t>Оплата за замок ворот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</si>
  <si>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>Офисная мебель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</si>
  <si>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>Мебель первого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</si>
  <si>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 xml:space="preserve">Оплата 70% по счету №718 ото07.08.2017 за мебель 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</si>
  <si>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 xml:space="preserve">Оплата 70% по счету №719 ото07.08.2017 за мебель 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</si>
  <si>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>Оплатапо счету №720 от 08.08.2017 за мебель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</si>
  <si>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 xml:space="preserve">Оплата по счету №775 от 24.08.2017 за мебель 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</si>
  <si>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 xml:space="preserve">Доплата по счету №718 ото07.08.2017 за мебель 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</si>
  <si>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 xml:space="preserve">Доплата по счету №719 ото07.08.2017 за мебель </t>
    </r>
  </si>
  <si>
    <r>
      <rPr>
        <b/>
        <sz val="12"/>
        <color theme="1"/>
        <rFont val="Times New Roman"/>
        <family val="1"/>
        <charset val="204"/>
      </rPr>
      <t>ООО "ТКСМ"</t>
    </r>
    <r>
      <rPr>
        <sz val="12"/>
        <color theme="1"/>
        <rFont val="Times New Roman"/>
        <family val="1"/>
        <charset val="204"/>
      </rPr>
      <t>Потолок второго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</si>
  <si>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>ООО "УСК"</t>
    </r>
    <r>
      <rPr>
        <sz val="12"/>
        <color theme="1"/>
        <rFont val="Times New Roman"/>
        <family val="1"/>
        <charset val="204"/>
      </rPr>
      <t>Оплата за вентиляцию в покрасочно-сушильный комплекс</t>
    </r>
  </si>
  <si>
    <r>
      <rPr>
        <b/>
        <sz val="12"/>
        <color theme="1"/>
        <rFont val="Times New Roman"/>
        <family val="1"/>
        <charset val="204"/>
      </rPr>
      <t>ООО "Центр автоматизации и роботизации"</t>
    </r>
    <r>
      <rPr>
        <sz val="12"/>
        <color theme="1"/>
        <rFont val="Times New Roman"/>
        <family val="1"/>
        <charset val="204"/>
      </rPr>
      <t>Оплата за проектирование оборудования окрасочной камеры</t>
    </r>
  </si>
  <si>
    <r>
      <rPr>
        <b/>
        <sz val="12"/>
        <color theme="1"/>
        <rFont val="Times New Roman"/>
        <family val="1"/>
        <charset val="204"/>
      </rPr>
      <t>ООО "ЭкспертПроект"</t>
    </r>
    <r>
      <rPr>
        <sz val="12"/>
        <color theme="1"/>
        <rFont val="Times New Roman"/>
        <family val="1"/>
        <charset val="204"/>
      </rPr>
      <t>Оплата за разработку спец.технических условий на проектирование и строительство</t>
    </r>
  </si>
  <si>
    <r>
      <rPr>
        <b/>
        <sz val="12"/>
        <color theme="1"/>
        <rFont val="Times New Roman"/>
        <family val="1"/>
        <charset val="204"/>
      </rPr>
      <t>ООО "ЭКСПЕРТПРОЕКТ"</t>
    </r>
    <r>
      <rPr>
        <sz val="12"/>
        <color theme="1"/>
        <rFont val="Times New Roman"/>
        <family val="1"/>
        <charset val="204"/>
      </rPr>
      <t>Оплата за проект по пожарной безопасности</t>
    </r>
  </si>
  <si>
    <r>
      <rPr>
        <b/>
        <sz val="12"/>
        <color theme="1"/>
        <rFont val="Times New Roman"/>
        <family val="1"/>
        <charset val="204"/>
      </rPr>
      <t>ООО "ЭЛЕКТРИК"</t>
    </r>
    <r>
      <rPr>
        <sz val="12"/>
        <color theme="1"/>
        <rFont val="Times New Roman"/>
        <family val="1"/>
        <charset val="204"/>
      </rPr>
      <t>Оплата за испытания электроустановок</t>
    </r>
  </si>
  <si>
    <r>
      <rPr>
        <b/>
        <sz val="12"/>
        <color theme="1"/>
        <rFont val="Times New Roman"/>
        <family val="1"/>
        <charset val="204"/>
      </rPr>
      <t>ООО "ЭЛЕКТРИК"</t>
    </r>
    <r>
      <rPr>
        <sz val="12"/>
        <color theme="1"/>
        <rFont val="Times New Roman"/>
        <family val="1"/>
        <charset val="204"/>
      </rPr>
      <t>Оплата за испытание электроустановок в механосборочном цехе №2</t>
    </r>
  </si>
  <si>
    <r>
      <rPr>
        <b/>
        <sz val="12"/>
        <color theme="1"/>
        <rFont val="Times New Roman"/>
        <family val="1"/>
        <charset val="204"/>
      </rPr>
      <t>ООО "Электропоставщик"</t>
    </r>
    <r>
      <rPr>
        <sz val="12"/>
        <color theme="1"/>
        <rFont val="Times New Roman"/>
        <family val="1"/>
        <charset val="204"/>
      </rPr>
      <t>Оплата за кабель для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</si>
  <si>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 "Электроснаб"</t>
    </r>
    <r>
      <rPr>
        <sz val="12"/>
        <color theme="1"/>
        <rFont val="Times New Roman"/>
        <family val="1"/>
        <charset val="204"/>
      </rPr>
      <t>Оплата за кабели для монтажа освещения</t>
    </r>
  </si>
  <si>
    <r>
      <rPr>
        <b/>
        <sz val="12"/>
        <color theme="1"/>
        <rFont val="Times New Roman"/>
        <family val="1"/>
        <charset val="204"/>
      </rPr>
      <t>ООО "Электроснаб"</t>
    </r>
    <r>
      <rPr>
        <sz val="12"/>
        <color theme="1"/>
        <rFont val="Times New Roman"/>
        <family val="1"/>
        <charset val="204"/>
      </rPr>
      <t>Оплата за кабели для силовой разводки в инж корпусе</t>
    </r>
  </si>
  <si>
    <r>
      <rPr>
        <b/>
        <sz val="12"/>
        <color theme="1"/>
        <rFont val="Times New Roman"/>
        <family val="1"/>
        <charset val="204"/>
      </rPr>
      <t>ООО "ЭЛЕКТРОСНАБ"</t>
    </r>
    <r>
      <rPr>
        <sz val="12"/>
        <color theme="1"/>
        <rFont val="Times New Roman"/>
        <family val="1"/>
        <charset val="204"/>
      </rPr>
      <t>Оплата за кабели для инженерного корпуса</t>
    </r>
  </si>
  <si>
    <r>
      <rPr>
        <b/>
        <sz val="12"/>
        <color theme="1"/>
        <rFont val="Times New Roman"/>
        <family val="1"/>
        <charset val="204"/>
      </rPr>
      <t>ООО "Электроснаб"</t>
    </r>
    <r>
      <rPr>
        <sz val="12"/>
        <color theme="1"/>
        <rFont val="Times New Roman"/>
        <family val="1"/>
        <charset val="204"/>
      </rPr>
      <t>За кабель для второго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</si>
  <si>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>ООО "ЭЛЕКТРОЩИТ"</t>
    </r>
    <r>
      <rPr>
        <sz val="12"/>
        <color theme="1"/>
        <rFont val="Times New Roman"/>
        <family val="1"/>
        <charset val="204"/>
      </rPr>
      <t>Оплата за электрощиты для инженерного корпуса</t>
    </r>
  </si>
  <si>
    <r>
      <rPr>
        <b/>
        <sz val="12"/>
        <color theme="1"/>
        <rFont val="Times New Roman"/>
        <family val="1"/>
        <charset val="204"/>
      </rPr>
      <t>ООО "ЭЛЕКТРОЩИТ"</t>
    </r>
    <r>
      <rPr>
        <sz val="12"/>
        <color theme="1"/>
        <rFont val="Times New Roman"/>
        <family val="1"/>
        <charset val="204"/>
      </rPr>
      <t>Оплата за электрощиты для дробеструйной камеры</t>
    </r>
  </si>
  <si>
    <r>
      <rPr>
        <b/>
        <sz val="12"/>
        <color theme="1"/>
        <rFont val="Times New Roman"/>
        <family val="1"/>
        <charset val="204"/>
      </rPr>
      <t>ООО "ЭЛЕКТРОЩИТ"</t>
    </r>
    <r>
      <rPr>
        <sz val="12"/>
        <color theme="1"/>
        <rFont val="Times New Roman"/>
        <family val="1"/>
        <charset val="204"/>
      </rPr>
      <t>Оплата за щиты для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</si>
  <si>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 "ЭЛЕКТРОЩИТ"</t>
    </r>
    <r>
      <rPr>
        <sz val="12"/>
        <color theme="1"/>
        <rFont val="Times New Roman"/>
        <family val="1"/>
        <charset val="204"/>
      </rPr>
      <t>Оплата за щит в инженерный корпус</t>
    </r>
  </si>
  <si>
    <r>
      <rPr>
        <b/>
        <sz val="12"/>
        <color theme="1"/>
        <rFont val="Times New Roman"/>
        <family val="1"/>
        <charset val="204"/>
      </rPr>
      <t>ООО "Элис-Групп"</t>
    </r>
    <r>
      <rPr>
        <sz val="12"/>
        <color theme="1"/>
        <rFont val="Times New Roman"/>
        <family val="1"/>
        <charset val="204"/>
      </rPr>
      <t>Оплата за кабель для подключения вентиляции</t>
    </r>
  </si>
  <si>
    <r>
      <rPr>
        <b/>
        <sz val="12"/>
        <color theme="1"/>
        <rFont val="Times New Roman"/>
        <family val="1"/>
        <charset val="204"/>
      </rPr>
      <t>ООО "Энергоном"</t>
    </r>
    <r>
      <rPr>
        <sz val="12"/>
        <color theme="1"/>
        <rFont val="Times New Roman"/>
        <family val="1"/>
        <charset val="204"/>
      </rPr>
      <t>Светильники для второго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</si>
  <si>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>ООО "Энергоном"</t>
    </r>
    <r>
      <rPr>
        <sz val="12"/>
        <color theme="1"/>
        <rFont val="Times New Roman"/>
        <family val="1"/>
        <charset val="204"/>
      </rPr>
      <t>Светильники в покраску</t>
    </r>
  </si>
  <si>
    <r>
      <rPr>
        <b/>
        <sz val="12"/>
        <color theme="1"/>
        <rFont val="Times New Roman"/>
        <family val="1"/>
        <charset val="204"/>
      </rPr>
      <t>ООО "Энергоном"</t>
    </r>
    <r>
      <rPr>
        <sz val="12"/>
        <color theme="1"/>
        <rFont val="Times New Roman"/>
        <family val="1"/>
        <charset val="204"/>
      </rPr>
      <t>Светильникик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</si>
  <si>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"Энергоном"</t>
    </r>
    <r>
      <rPr>
        <sz val="12"/>
        <color theme="1"/>
        <rFont val="Times New Roman"/>
        <family val="1"/>
        <charset val="204"/>
      </rPr>
      <t>Светильники для освещения покрасочно-сушильной камеры (п/оплата 50%)</t>
    </r>
  </si>
  <si>
    <r>
      <rPr>
        <b/>
        <sz val="12"/>
        <color theme="1"/>
        <rFont val="Times New Roman"/>
        <family val="1"/>
        <charset val="204"/>
      </rPr>
      <t xml:space="preserve">ООО "Эталон Строй" </t>
    </r>
    <r>
      <rPr>
        <sz val="12"/>
        <color theme="1"/>
        <rFont val="Times New Roman"/>
        <family val="1"/>
        <charset val="204"/>
      </rPr>
      <t>Оплата за выполненные работы по монтажу системы пожарной сигнализации в МСЦ №2</t>
    </r>
  </si>
  <si>
    <r>
      <rPr>
        <b/>
        <sz val="12"/>
        <color theme="1"/>
        <rFont val="Times New Roman"/>
        <family val="1"/>
        <charset val="204"/>
      </rPr>
      <t>ООО "Эталон Строй"</t>
    </r>
    <r>
      <rPr>
        <sz val="12"/>
        <color theme="1"/>
        <rFont val="Times New Roman"/>
        <family val="1"/>
        <charset val="204"/>
      </rPr>
      <t>Монтаж системы пожарной сигнализации в инженерном корпусе</t>
    </r>
  </si>
  <si>
    <r>
      <rPr>
        <b/>
        <sz val="12"/>
        <color theme="1"/>
        <rFont val="Times New Roman"/>
        <family val="1"/>
        <charset val="204"/>
      </rPr>
      <t>ООО ПКФ "Электрон"</t>
    </r>
    <r>
      <rPr>
        <sz val="12"/>
        <color theme="1"/>
        <rFont val="Times New Roman"/>
        <family val="1"/>
        <charset val="204"/>
      </rPr>
      <t>Прокладка компьютерных сетей в инженерном корпусе</t>
    </r>
  </si>
  <si>
    <r>
      <rPr>
        <b/>
        <sz val="12"/>
        <color theme="1"/>
        <rFont val="Times New Roman"/>
        <family val="1"/>
        <charset val="204"/>
      </rPr>
      <t>ООО ПКФ "Электрон"</t>
    </r>
    <r>
      <rPr>
        <sz val="12"/>
        <color theme="1"/>
        <rFont val="Times New Roman"/>
        <family val="1"/>
        <charset val="204"/>
      </rPr>
      <t>Электроосвещение в инженерном корпусе первого этажа</t>
    </r>
  </si>
  <si>
    <r>
      <rPr>
        <b/>
        <sz val="12"/>
        <color theme="1"/>
        <rFont val="Times New Roman"/>
        <family val="1"/>
        <charset val="204"/>
      </rPr>
      <t>ООО ПКФ "Электрон"</t>
    </r>
    <r>
      <rPr>
        <sz val="12"/>
        <color theme="1"/>
        <rFont val="Times New Roman"/>
        <family val="1"/>
        <charset val="204"/>
      </rPr>
      <t>Прокладка силовых сетей (розетки) в инженерном корпусе 1-2 этажа</t>
    </r>
  </si>
  <si>
    <r>
      <rPr>
        <b/>
        <sz val="12"/>
        <color theme="1"/>
        <rFont val="Times New Roman"/>
        <family val="1"/>
        <charset val="204"/>
      </rPr>
      <t>ООО ПО "ЭНЕРГОПРОМСТРОЙ"</t>
    </r>
    <r>
      <rPr>
        <sz val="12"/>
        <color theme="1"/>
        <rFont val="Times New Roman"/>
        <family val="1"/>
        <charset val="204"/>
      </rPr>
      <t>Оплата за проектные работы</t>
    </r>
  </si>
  <si>
    <r>
      <rPr>
        <b/>
        <sz val="12"/>
        <color theme="1"/>
        <rFont val="Times New Roman"/>
        <family val="1"/>
        <charset val="204"/>
      </rPr>
      <t>ООО ПО "ЭНЕРГОПРОМСТРОЙ"</t>
    </r>
    <r>
      <rPr>
        <sz val="12"/>
        <color theme="1"/>
        <rFont val="Times New Roman"/>
        <family val="1"/>
        <charset val="204"/>
      </rPr>
      <t>Предоплата за термомаслянный котел и насос</t>
    </r>
  </si>
  <si>
    <r>
      <rPr>
        <b/>
        <sz val="12"/>
        <color theme="1"/>
        <rFont val="Times New Roman"/>
        <family val="1"/>
        <charset val="204"/>
      </rPr>
      <t>ООО ПО "ЭНЕРГОПРОМСТРОЙ"</t>
    </r>
    <r>
      <rPr>
        <sz val="12"/>
        <color theme="1"/>
        <rFont val="Times New Roman"/>
        <family val="1"/>
        <charset val="204"/>
      </rPr>
      <t>Оплата за термомаслянный котел</t>
    </r>
  </si>
  <si>
    <r>
      <rPr>
        <b/>
        <sz val="12"/>
        <color theme="1"/>
        <rFont val="Times New Roman"/>
        <family val="1"/>
        <charset val="204"/>
      </rPr>
      <t>ООО ТД "ЖБИ"</t>
    </r>
    <r>
      <rPr>
        <sz val="12"/>
        <color theme="1"/>
        <rFont val="Times New Roman"/>
        <family val="1"/>
        <charset val="204"/>
      </rPr>
      <t xml:space="preserve"> за фундаментные блоки для котельной</t>
    </r>
  </si>
  <si>
    <r>
      <rPr>
        <b/>
        <sz val="12"/>
        <color theme="1"/>
        <rFont val="Times New Roman"/>
        <family val="1"/>
        <charset val="204"/>
      </rPr>
      <t>ООО ТКСМ"</t>
    </r>
    <r>
      <rPr>
        <sz val="12"/>
        <color theme="1"/>
        <rFont val="Times New Roman"/>
        <family val="1"/>
        <charset val="204"/>
      </rPr>
      <t>Оплата за подвесной потолок первого этажа  инженерного корпуса</t>
    </r>
  </si>
  <si>
    <r>
      <rPr>
        <b/>
        <sz val="12"/>
        <color theme="1"/>
        <rFont val="Times New Roman"/>
        <family val="1"/>
        <charset val="204"/>
      </rPr>
      <t>ООО"А ГРУПП"</t>
    </r>
    <r>
      <rPr>
        <sz val="12"/>
        <color theme="1"/>
        <rFont val="Times New Roman"/>
        <family val="1"/>
        <charset val="204"/>
      </rPr>
      <t xml:space="preserve"> Оплата за металл для монтажа комплекса роботов</t>
    </r>
  </si>
  <si>
    <r>
      <rPr>
        <b/>
        <sz val="12"/>
        <color theme="1"/>
        <rFont val="Times New Roman"/>
        <family val="1"/>
        <charset val="204"/>
      </rPr>
      <t xml:space="preserve">ООО"А ГРУПП" </t>
    </r>
    <r>
      <rPr>
        <sz val="12"/>
        <color theme="1"/>
        <rFont val="Times New Roman"/>
        <family val="1"/>
        <charset val="204"/>
      </rPr>
      <t>Оплата за металл на монтаж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</si>
  <si>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 xml:space="preserve">ООО"Энергоном" </t>
    </r>
    <r>
      <rPr>
        <sz val="12"/>
        <color theme="1"/>
        <rFont val="Times New Roman"/>
        <family val="1"/>
        <charset val="204"/>
      </rPr>
      <t>Частичная оплата за светильники первого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</si>
  <si>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 xml:space="preserve">Industrielhandel GmbH </t>
    </r>
    <r>
      <rPr>
        <sz val="12"/>
        <color theme="1"/>
        <rFont val="Times New Roman"/>
        <family val="1"/>
        <charset val="204"/>
      </rPr>
      <t>Оплата за запчасти к сварочному роботу</t>
    </r>
  </si>
  <si>
    <r>
      <rPr>
        <b/>
        <sz val="12"/>
        <color theme="1"/>
        <rFont val="Times New Roman"/>
        <family val="1"/>
        <charset val="204"/>
      </rPr>
      <t xml:space="preserve">Industrielhandel GmbH </t>
    </r>
    <r>
      <rPr>
        <sz val="12"/>
        <color theme="1"/>
        <rFont val="Times New Roman"/>
        <family val="1"/>
        <charset val="204"/>
      </rPr>
      <t xml:space="preserve"> Оплата за запчасти на роботы</t>
    </r>
  </si>
  <si>
    <r>
      <rPr>
        <b/>
        <sz val="12"/>
        <color theme="1"/>
        <rFont val="Times New Roman"/>
        <family val="1"/>
        <charset val="204"/>
      </rPr>
      <t>Industrielhandel GmbH</t>
    </r>
    <r>
      <rPr>
        <sz val="12"/>
        <color theme="1"/>
        <rFont val="Times New Roman"/>
        <family val="1"/>
        <charset val="204"/>
      </rPr>
      <t xml:space="preserve">  Оплата за запчасти на роботы</t>
    </r>
  </si>
  <si>
    <r>
      <rPr>
        <b/>
        <sz val="12"/>
        <color theme="1"/>
        <rFont val="Times New Roman"/>
        <family val="1"/>
        <charset val="204"/>
      </rPr>
      <t>Industrielhandel GmbH</t>
    </r>
    <r>
      <rPr>
        <sz val="12"/>
        <color theme="1"/>
        <rFont val="Times New Roman"/>
        <family val="1"/>
        <charset val="204"/>
      </rPr>
      <t xml:space="preserve">  Оплата аванса по счету проформе за сварочный источник для манипулятора </t>
    </r>
  </si>
  <si>
    <r>
      <rPr>
        <b/>
        <sz val="12"/>
        <color theme="1"/>
        <rFont val="Times New Roman"/>
        <family val="1"/>
        <charset val="204"/>
      </rPr>
      <t>Industrielhandel GmbH</t>
    </r>
    <r>
      <rPr>
        <sz val="12"/>
        <color theme="1"/>
        <rFont val="Times New Roman"/>
        <family val="1"/>
        <charset val="204"/>
      </rPr>
      <t xml:space="preserve">  Оплата за сварочные источники</t>
    </r>
  </si>
  <si>
    <r>
      <rPr>
        <b/>
        <sz val="12"/>
        <color theme="1"/>
        <rFont val="Times New Roman"/>
        <family val="1"/>
        <charset val="204"/>
      </rPr>
      <t xml:space="preserve">АО "Белэнергомашсервис" </t>
    </r>
    <r>
      <rPr>
        <sz val="12"/>
        <color theme="1"/>
        <rFont val="Times New Roman"/>
        <family val="1"/>
        <charset val="204"/>
      </rPr>
      <t>Предоплата 50% за бак расширительный (в котельную)</t>
    </r>
  </si>
  <si>
    <r>
      <rPr>
        <b/>
        <sz val="12"/>
        <color theme="1"/>
        <rFont val="Times New Roman"/>
        <family val="1"/>
        <charset val="204"/>
      </rPr>
      <t>АО "ЕВРОЦЕМЕНТ груп"</t>
    </r>
    <r>
      <rPr>
        <sz val="12"/>
        <color theme="1"/>
        <rFont val="Times New Roman"/>
        <family val="1"/>
        <charset val="204"/>
      </rPr>
      <t xml:space="preserve"> Оплата за цемент</t>
    </r>
  </si>
  <si>
    <r>
      <rPr>
        <b/>
        <sz val="12"/>
        <color theme="1"/>
        <rFont val="Times New Roman"/>
        <family val="1"/>
        <charset val="204"/>
      </rPr>
      <t>АО "Изолюкс"</t>
    </r>
    <r>
      <rPr>
        <sz val="12"/>
        <color theme="1"/>
        <rFont val="Times New Roman"/>
        <family val="1"/>
        <charset val="204"/>
      </rPr>
      <t>Теплоизоляция для вентиляции МСЦ№2</t>
    </r>
  </si>
  <si>
    <r>
      <rPr>
        <b/>
        <sz val="12"/>
        <color theme="1"/>
        <rFont val="Times New Roman"/>
        <family val="1"/>
        <charset val="204"/>
      </rPr>
      <t>АО "Изолюкс"</t>
    </r>
    <r>
      <rPr>
        <sz val="12"/>
        <color theme="1"/>
        <rFont val="Times New Roman"/>
        <family val="1"/>
        <charset val="204"/>
      </rPr>
      <t xml:space="preserve"> Теплоизоляция для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</si>
  <si>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 xml:space="preserve">АО "РГ-Ремсервис" </t>
    </r>
    <r>
      <rPr>
        <sz val="12"/>
        <color theme="1"/>
        <rFont val="Times New Roman"/>
        <family val="1"/>
        <charset val="204"/>
      </rPr>
      <t>Оплата за гидростанцию</t>
    </r>
  </si>
  <si>
    <r>
      <rPr>
        <b/>
        <sz val="12"/>
        <color theme="1"/>
        <rFont val="Times New Roman"/>
        <family val="1"/>
        <charset val="204"/>
      </rPr>
      <t xml:space="preserve">АО Солнечногорский завод металлических сеток ЛЕПСЕ </t>
    </r>
    <r>
      <rPr>
        <sz val="12"/>
        <color theme="1"/>
        <rFont val="Times New Roman"/>
        <family val="1"/>
        <charset val="204"/>
      </rPr>
      <t xml:space="preserve">Оплата за сетку </t>
    </r>
  </si>
  <si>
    <r>
      <rPr>
        <b/>
        <sz val="12"/>
        <color theme="1"/>
        <rFont val="Times New Roman"/>
        <family val="1"/>
        <charset val="204"/>
      </rPr>
      <t>АО ЮниКредит Банк</t>
    </r>
    <r>
      <rPr>
        <sz val="12"/>
        <color theme="1"/>
        <rFont val="Times New Roman"/>
        <family val="1"/>
        <charset val="204"/>
      </rPr>
      <t xml:space="preserve">  Оплата за прокат листовой</t>
    </r>
  </si>
  <si>
    <r>
      <rPr>
        <b/>
        <sz val="12"/>
        <color theme="1"/>
        <rFont val="Times New Roman"/>
        <family val="1"/>
        <charset val="204"/>
      </rPr>
      <t>ЗАО "ОПС-ШИЛОВО"</t>
    </r>
    <r>
      <rPr>
        <sz val="12"/>
        <color theme="1"/>
        <rFont val="Times New Roman"/>
        <family val="1"/>
        <charset val="204"/>
      </rPr>
      <t xml:space="preserve"> Оплата за трубы для ливневой канализации</t>
    </r>
  </si>
  <si>
    <r>
      <rPr>
        <b/>
        <sz val="12"/>
        <color theme="1"/>
        <rFont val="Times New Roman"/>
        <family val="1"/>
        <charset val="204"/>
      </rPr>
      <t>ЗАО ТФД "Брок-Инвест-Сервис и К"</t>
    </r>
    <r>
      <rPr>
        <sz val="12"/>
        <color theme="1"/>
        <rFont val="Times New Roman"/>
        <family val="1"/>
        <charset val="204"/>
      </rPr>
      <t xml:space="preserve"> Оплата за металл на каркас дробеструйной камеры</t>
    </r>
  </si>
  <si>
    <r>
      <rPr>
        <b/>
        <sz val="12"/>
        <color theme="1"/>
        <rFont val="Times New Roman"/>
        <family val="1"/>
        <charset val="204"/>
      </rPr>
      <t xml:space="preserve">ИП БОРОДИЧ Т.Г. </t>
    </r>
    <r>
      <rPr>
        <sz val="12"/>
        <color theme="1"/>
        <rFont val="Times New Roman"/>
        <family val="1"/>
        <charset val="204"/>
      </rPr>
      <t>Оплата за работы по отоплению инженерного корпуса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</si>
  <si>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 xml:space="preserve"> Оплата за работы по водопроводу инженерного корпуса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</si>
  <si>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>Оплата за работы по установке пожарного водопровода</t>
    </r>
  </si>
  <si>
    <r>
      <rPr>
        <b/>
        <sz val="12"/>
        <color theme="1"/>
        <rFont val="Times New Roman"/>
        <family val="1"/>
        <charset val="204"/>
      </rPr>
      <t xml:space="preserve">ИП БОРОДИЧ Т.Г.   </t>
    </r>
    <r>
      <rPr>
        <sz val="12"/>
        <color theme="1"/>
        <rFont val="Times New Roman"/>
        <family val="1"/>
        <charset val="204"/>
      </rPr>
      <t xml:space="preserve"> Оплата за работы в дробеструйной камере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</si>
  <si>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 xml:space="preserve"> Оплата за работы по устройству приточной вентиляции МСЦ №2 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</si>
  <si>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 xml:space="preserve"> Выполнение работ по прокладке теплотрассы к термомаслянному котлу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</si>
  <si>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 xml:space="preserve"> Выполнение подрядных работ</t>
    </r>
  </si>
  <si>
    <r>
      <rPr>
        <b/>
        <sz val="12"/>
        <color theme="1"/>
        <rFont val="Times New Roman"/>
        <family val="1"/>
        <charset val="204"/>
      </rPr>
      <t xml:space="preserve">ИП БОРОДИЧ Т.Г. </t>
    </r>
    <r>
      <rPr>
        <sz val="12"/>
        <color theme="1"/>
        <rFont val="Times New Roman"/>
        <family val="1"/>
        <charset val="204"/>
      </rPr>
      <t>Прокладка теплотрассы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</si>
  <si>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 xml:space="preserve"> Прокладка труб отопления в камере сушки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</si>
  <si>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ИП Юсипов Вялит Халитович</t>
    </r>
    <r>
      <rPr>
        <sz val="12"/>
        <color theme="1"/>
        <rFont val="Times New Roman"/>
        <family val="1"/>
        <charset val="204"/>
      </rPr>
      <t xml:space="preserve"> Комплектующие для покрасочно-сушильной камеры</t>
    </r>
  </si>
  <si>
    <r>
      <rPr>
        <b/>
        <sz val="12"/>
        <color theme="1"/>
        <rFont val="Times New Roman"/>
        <family val="1"/>
        <charset val="204"/>
      </rPr>
      <t xml:space="preserve">ОАО "Автодизель" </t>
    </r>
    <r>
      <rPr>
        <sz val="12"/>
        <color theme="1"/>
        <rFont val="Times New Roman"/>
        <family val="1"/>
        <charset val="204"/>
      </rPr>
      <t>Оплата за двигатели</t>
    </r>
  </si>
  <si>
    <r>
      <rPr>
        <b/>
        <sz val="12"/>
        <color theme="1"/>
        <rFont val="Times New Roman"/>
        <family val="1"/>
        <charset val="204"/>
      </rPr>
      <t>Общество с ограниченной ответственностью "Уральская Станкопромышленая Компания"</t>
    </r>
    <r>
      <rPr>
        <sz val="12"/>
        <color theme="1"/>
        <rFont val="Times New Roman"/>
        <family val="1"/>
        <charset val="204"/>
      </rPr>
      <t xml:space="preserve"> Оплата за вентиляционнное оборудование покрасочного комплекса</t>
    </r>
  </si>
  <si>
    <r>
      <rPr>
        <b/>
        <sz val="12"/>
        <color theme="1"/>
        <rFont val="Times New Roman"/>
        <family val="1"/>
        <charset val="204"/>
      </rPr>
      <t xml:space="preserve">Общество с ограниченной ответственностью "Уральская Станкопромышленная Компания" </t>
    </r>
    <r>
      <rPr>
        <sz val="12"/>
        <color theme="1"/>
        <rFont val="Times New Roman"/>
        <family val="1"/>
        <charset val="204"/>
      </rPr>
      <t>За оборудование для покрасочно-сушильного комплекса по дог.№28-11-2016 от 28.11.2016</t>
    </r>
  </si>
  <si>
    <r>
      <t xml:space="preserve"> </t>
    </r>
    <r>
      <rPr>
        <b/>
        <sz val="12"/>
        <color theme="1"/>
        <rFont val="Times New Roman"/>
        <family val="1"/>
        <charset val="204"/>
      </rPr>
      <t>ООО  "ЭКА-сервис Компани"</t>
    </r>
    <r>
      <rPr>
        <sz val="12"/>
        <color theme="1"/>
        <rFont val="Times New Roman"/>
        <family val="1"/>
        <charset val="204"/>
      </rPr>
      <t xml:space="preserve"> Оплата за кабели для подключения робота Фанук</t>
    </r>
  </si>
  <si>
    <r>
      <rPr>
        <b/>
        <sz val="12"/>
        <color theme="1"/>
        <rFont val="Times New Roman"/>
        <family val="1"/>
        <charset val="204"/>
      </rPr>
      <t xml:space="preserve">ООО "АГРОПРОМШИНА" 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</si>
  <si>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 xml:space="preserve">ООО "Айтек" </t>
    </r>
    <r>
      <rPr>
        <sz val="12"/>
        <color theme="1"/>
        <rFont val="Times New Roman"/>
        <family val="1"/>
        <charset val="204"/>
      </rPr>
      <t>Оплата за серверы для технологического отдела</t>
    </r>
  </si>
  <si>
    <r>
      <rPr>
        <b/>
        <sz val="12"/>
        <color theme="1"/>
        <rFont val="Times New Roman"/>
        <family val="1"/>
        <charset val="204"/>
      </rPr>
      <t>ООО "Айтек"</t>
    </r>
    <r>
      <rPr>
        <sz val="12"/>
        <color theme="1"/>
        <rFont val="Times New Roman"/>
        <family val="1"/>
        <charset val="204"/>
      </rPr>
      <t>Оплата за серверы для технологического отдела</t>
    </r>
  </si>
  <si>
    <r>
      <rPr>
        <b/>
        <sz val="12"/>
        <color theme="1"/>
        <rFont val="Times New Roman"/>
        <family val="1"/>
        <charset val="204"/>
      </rPr>
      <t>ООО "Айтек"</t>
    </r>
    <r>
      <rPr>
        <sz val="12"/>
        <color theme="1"/>
        <rFont val="Times New Roman"/>
        <family val="1"/>
        <charset val="204"/>
      </rPr>
      <t xml:space="preserve"> Оплата за кабель для инженерного корпуса</t>
    </r>
  </si>
  <si>
    <r>
      <rPr>
        <b/>
        <sz val="12"/>
        <color theme="1"/>
        <rFont val="Times New Roman"/>
        <family val="1"/>
        <charset val="204"/>
      </rPr>
      <t xml:space="preserve">ООО "Айтек" </t>
    </r>
    <r>
      <rPr>
        <sz val="12"/>
        <color theme="1"/>
        <rFont val="Times New Roman"/>
        <family val="1"/>
        <charset val="204"/>
      </rPr>
      <t>Сетевое оборудование для инженерного корпуса</t>
    </r>
  </si>
  <si>
    <r>
      <rPr>
        <b/>
        <sz val="12"/>
        <color theme="1"/>
        <rFont val="Times New Roman"/>
        <family val="1"/>
        <charset val="204"/>
      </rPr>
      <t>ООО "Айтек"</t>
    </r>
    <r>
      <rPr>
        <sz val="12"/>
        <color theme="1"/>
        <rFont val="Times New Roman"/>
        <family val="1"/>
        <charset val="204"/>
      </rPr>
      <t xml:space="preserve"> Сетевое оборудование для подключения инженерного корпуса</t>
    </r>
  </si>
  <si>
    <r>
      <rPr>
        <b/>
        <sz val="12"/>
        <color theme="1"/>
        <rFont val="Times New Roman"/>
        <family val="1"/>
        <charset val="204"/>
      </rPr>
      <t>ООО "Айтек "</t>
    </r>
    <r>
      <rPr>
        <sz val="12"/>
        <color theme="1"/>
        <rFont val="Times New Roman"/>
        <family val="1"/>
        <charset val="204"/>
      </rPr>
      <t>Монтаж системы волоконно-оптической связи для инженерного корпуса</t>
    </r>
  </si>
  <si>
    <r>
      <rPr>
        <b/>
        <sz val="12"/>
        <color theme="1"/>
        <rFont val="Times New Roman"/>
        <family val="1"/>
        <charset val="204"/>
      </rPr>
      <t xml:space="preserve">ООО "Айтек" </t>
    </r>
    <r>
      <rPr>
        <sz val="12"/>
        <color theme="1"/>
        <rFont val="Times New Roman"/>
        <family val="1"/>
        <charset val="204"/>
      </rPr>
      <t>Монтаж системы волоконно-оптической связи для инженерного корпуса. Акт выполненных работ №Усл-0012 от 02.05.2017</t>
    </r>
  </si>
  <si>
    <r>
      <rPr>
        <b/>
        <sz val="12"/>
        <color theme="1"/>
        <rFont val="Times New Roman"/>
        <family val="1"/>
        <charset val="204"/>
      </rPr>
      <t>ООО "Айтек"</t>
    </r>
    <r>
      <rPr>
        <sz val="12"/>
        <color theme="1"/>
        <rFont val="Times New Roman"/>
        <family val="1"/>
        <charset val="204"/>
      </rPr>
      <t xml:space="preserve"> Монтаж системы кондицинирования в серверной комнате инженерного корпуса</t>
    </r>
  </si>
  <si>
    <r>
      <rPr>
        <b/>
        <sz val="12"/>
        <color theme="1"/>
        <rFont val="Times New Roman"/>
        <family val="1"/>
        <charset val="204"/>
      </rPr>
      <t>ООО "Айтек"</t>
    </r>
    <r>
      <rPr>
        <sz val="12"/>
        <color theme="1"/>
        <rFont val="Times New Roman"/>
        <family val="1"/>
        <charset val="204"/>
      </rPr>
      <t>Монтаж системы кондицинирования в инженерном корпусе</t>
    </r>
  </si>
  <si>
    <r>
      <rPr>
        <b/>
        <sz val="12"/>
        <color theme="1"/>
        <rFont val="Times New Roman"/>
        <family val="1"/>
        <charset val="204"/>
      </rPr>
      <t>ООО "БАМгрупп"</t>
    </r>
    <r>
      <rPr>
        <sz val="12"/>
        <color theme="1"/>
        <rFont val="Times New Roman"/>
        <family val="1"/>
        <charset val="204"/>
      </rPr>
      <t xml:space="preserve"> Оплата за промышленный пылесос </t>
    </r>
  </si>
  <si>
    <r>
      <rPr>
        <b/>
        <sz val="12"/>
        <color theme="1"/>
        <rFont val="Times New Roman"/>
        <family val="1"/>
        <charset val="204"/>
      </rPr>
      <t>ООО "ВАБКО РУС"</t>
    </r>
    <r>
      <rPr>
        <sz val="12"/>
        <color theme="1"/>
        <rFont val="Times New Roman"/>
        <family val="1"/>
        <charset val="204"/>
      </rPr>
      <t xml:space="preserve"> Оплата за ТМЦ </t>
    </r>
  </si>
  <si>
    <r>
      <rPr>
        <b/>
        <sz val="12"/>
        <color theme="1"/>
        <rFont val="Times New Roman"/>
        <family val="1"/>
        <charset val="204"/>
      </rPr>
      <t>ООО "Веза"</t>
    </r>
    <r>
      <rPr>
        <sz val="12"/>
        <color theme="1"/>
        <rFont val="Times New Roman"/>
        <family val="1"/>
        <charset val="204"/>
      </rPr>
      <t>Оплата за оборудование для противодымной вентиляции</t>
    </r>
  </si>
  <si>
    <r>
      <rPr>
        <b/>
        <sz val="12"/>
        <color theme="1"/>
        <rFont val="Times New Roman"/>
        <family val="1"/>
        <charset val="204"/>
      </rPr>
      <t>ООО "ВентЭлектро"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</si>
  <si>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"ГКС"</t>
    </r>
    <r>
      <rPr>
        <sz val="12"/>
        <color theme="1"/>
        <rFont val="Times New Roman"/>
        <family val="1"/>
        <charset val="204"/>
      </rPr>
      <t>Оплата за ТМЦ для подключения оборудования</t>
    </r>
  </si>
  <si>
    <r>
      <rPr>
        <b/>
        <sz val="12"/>
        <color theme="1"/>
        <rFont val="Times New Roman"/>
        <family val="1"/>
        <charset val="204"/>
      </rPr>
      <t xml:space="preserve">ООО "ДЕПО </t>
    </r>
    <r>
      <rPr>
        <sz val="12"/>
        <color theme="1"/>
        <rFont val="Times New Roman"/>
        <family val="1"/>
        <charset val="204"/>
      </rPr>
      <t>Электроникс"Оплата за сервер</t>
    </r>
  </si>
  <si>
    <r>
      <rPr>
        <b/>
        <sz val="12"/>
        <color theme="1"/>
        <rFont val="Times New Roman"/>
        <family val="1"/>
        <charset val="204"/>
      </rPr>
      <t>ООО "ДИВАВИН И КОМПАНИЯ"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</si>
  <si>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"Дипласт Инж"</t>
    </r>
    <r>
      <rPr>
        <sz val="12"/>
        <color theme="1"/>
        <rFont val="Times New Roman"/>
        <family val="1"/>
        <charset val="204"/>
      </rPr>
      <t>Оплата за пилу для резки алюминия</t>
    </r>
  </si>
  <si>
    <r>
      <rPr>
        <b/>
        <sz val="12"/>
        <color theme="1"/>
        <rFont val="Times New Roman"/>
        <family val="1"/>
        <charset val="204"/>
      </rPr>
      <t>ООО "ИНЖЕНЕРСЕРВИС"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</si>
  <si>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"ИНТЕХ"</t>
    </r>
    <r>
      <rPr>
        <sz val="12"/>
        <color theme="1"/>
        <rFont val="Times New Roman"/>
        <family val="1"/>
        <charset val="204"/>
      </rPr>
      <t xml:space="preserve">Предоплата за станок </t>
    </r>
  </si>
  <si>
    <r>
      <rPr>
        <b/>
        <sz val="12"/>
        <color theme="1"/>
        <rFont val="Times New Roman"/>
        <family val="1"/>
        <charset val="204"/>
      </rPr>
      <t>ООО "ИНТЕХ"</t>
    </r>
    <r>
      <rPr>
        <sz val="12"/>
        <color theme="1"/>
        <rFont val="Times New Roman"/>
        <family val="1"/>
        <charset val="204"/>
      </rPr>
      <t>Оплата за станок</t>
    </r>
  </si>
  <si>
    <r>
      <rPr>
        <b/>
        <sz val="12"/>
        <color theme="1"/>
        <rFont val="Times New Roman"/>
        <family val="1"/>
        <charset val="204"/>
      </rPr>
      <t>ООО "ИНТЕХ"</t>
    </r>
    <r>
      <rPr>
        <sz val="12"/>
        <color theme="1"/>
        <rFont val="Times New Roman"/>
        <family val="1"/>
        <charset val="204"/>
      </rPr>
      <t>За станок 65А80ПМФ4</t>
    </r>
  </si>
  <si>
    <r>
      <rPr>
        <b/>
        <sz val="12"/>
        <color theme="1"/>
        <rFont val="Times New Roman"/>
        <family val="1"/>
        <charset val="204"/>
      </rPr>
      <t>ООО "ИТКОМ"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</si>
  <si>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"Камминз"</t>
    </r>
    <r>
      <rPr>
        <sz val="12"/>
        <color theme="1"/>
        <rFont val="Times New Roman"/>
        <family val="1"/>
        <charset val="204"/>
      </rPr>
      <t xml:space="preserve"> Оплата за двигатель</t>
    </r>
  </si>
  <si>
    <r>
      <rPr>
        <b/>
        <sz val="12"/>
        <color theme="1"/>
        <rFont val="Times New Roman"/>
        <family val="1"/>
        <charset val="204"/>
      </rPr>
      <t>ООО "Камоцци Пневматика"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</si>
  <si>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"КИРЕЛИС"</t>
    </r>
    <r>
      <rPr>
        <sz val="12"/>
        <color theme="1"/>
        <rFont val="Times New Roman"/>
        <family val="1"/>
        <charset val="204"/>
      </rPr>
      <t>Оплата за техпластины</t>
    </r>
  </si>
  <si>
    <r>
      <rPr>
        <b/>
        <sz val="12"/>
        <color theme="1"/>
        <rFont val="Times New Roman"/>
        <family val="1"/>
        <charset val="204"/>
      </rPr>
      <t>ООО "КИРЕЛИС"</t>
    </r>
    <r>
      <rPr>
        <sz val="12"/>
        <color theme="1"/>
        <rFont val="Times New Roman"/>
        <family val="1"/>
        <charset val="204"/>
      </rPr>
      <t>Оплата за материалы для монтажа дробеструйной камеры</t>
    </r>
  </si>
  <si>
    <r>
      <rPr>
        <b/>
        <sz val="12"/>
        <color theme="1"/>
        <rFont val="Times New Roman"/>
        <family val="1"/>
        <charset val="204"/>
      </rPr>
      <t>ООО "Лайдия"</t>
    </r>
    <r>
      <rPr>
        <sz val="12"/>
        <color theme="1"/>
        <rFont val="Times New Roman"/>
        <family val="1"/>
        <charset val="204"/>
      </rPr>
      <t>Оплата за контроллеры на сварочный робот</t>
    </r>
  </si>
  <si>
    <r>
      <rPr>
        <b/>
        <sz val="12"/>
        <color theme="1"/>
        <rFont val="Times New Roman"/>
        <family val="1"/>
        <charset val="204"/>
      </rPr>
      <t>ООО "Мессер Эвтектик Кастолин"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</si>
  <si>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 xml:space="preserve">ООО "Мехзавод ГПО" </t>
    </r>
    <r>
      <rPr>
        <sz val="12"/>
        <color theme="1"/>
        <rFont val="Times New Roman"/>
        <family val="1"/>
        <charset val="204"/>
      </rPr>
      <t>Оплата за стропы</t>
    </r>
  </si>
  <si>
    <r>
      <rPr>
        <b/>
        <sz val="12"/>
        <color theme="1"/>
        <rFont val="Times New Roman"/>
        <family val="1"/>
        <charset val="204"/>
      </rPr>
      <t>ООО "Мехзавод ГПО"</t>
    </r>
    <r>
      <rPr>
        <sz val="12"/>
        <color theme="1"/>
        <rFont val="Times New Roman"/>
        <family val="1"/>
        <charset val="204"/>
      </rPr>
      <t xml:space="preserve"> Оплата за ТМЦ </t>
    </r>
  </si>
  <si>
    <r>
      <rPr>
        <b/>
        <sz val="12"/>
        <color theme="1"/>
        <rFont val="Times New Roman"/>
        <family val="1"/>
        <charset val="204"/>
      </rPr>
      <t>ООО "МКТ АНКЕРНЫЕ ТЕХНОЛОГИИ"</t>
    </r>
    <r>
      <rPr>
        <sz val="12"/>
        <color theme="1"/>
        <rFont val="Times New Roman"/>
        <family val="1"/>
        <charset val="204"/>
      </rPr>
      <t>Оплата за инструмент</t>
    </r>
  </si>
  <si>
    <r>
      <rPr>
        <b/>
        <sz val="12"/>
        <color theme="1"/>
        <rFont val="Times New Roman"/>
        <family val="1"/>
        <charset val="204"/>
      </rPr>
      <t>ООО "НДГС. НОВЫЙ ДИЗЕЛЬ ГЕРБОКС СЕРВИС"</t>
    </r>
    <r>
      <rPr>
        <sz val="12"/>
        <color theme="1"/>
        <rFont val="Times New Roman"/>
        <family val="1"/>
        <charset val="204"/>
      </rPr>
      <t>Доплата по готовности 40% за коробку передач Allison</t>
    </r>
  </si>
  <si>
    <r>
      <rPr>
        <b/>
        <sz val="12"/>
        <color theme="1"/>
        <rFont val="Times New Roman"/>
        <family val="1"/>
        <charset val="204"/>
      </rPr>
      <t>ООО "НОТА"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</si>
  <si>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"НПО "Ростар"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</si>
  <si>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Аванс 50% за кран однобалочный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</si>
  <si>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Доплата по готовности 50% за кран однобалочный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</si>
  <si>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Предоплата за кран 10 тонн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</si>
  <si>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Оплата за кран 10 тонн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</si>
  <si>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Оплата за краны однобалочные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</si>
  <si>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Доплата за кран 10 тонн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</si>
  <si>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 xml:space="preserve">Оплата за таль 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</si>
  <si>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Оплата за кран-балки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</si>
  <si>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Оплата за концевую балку</t>
    </r>
  </si>
  <si>
    <r>
      <rPr>
        <b/>
        <sz val="12"/>
        <color theme="1"/>
        <rFont val="Times New Roman"/>
        <family val="1"/>
        <charset val="204"/>
      </rPr>
      <t>ООО "ПЕТРО ЛЭНД"</t>
    </r>
    <r>
      <rPr>
        <sz val="12"/>
        <color theme="1"/>
        <rFont val="Times New Roman"/>
        <family val="1"/>
        <charset val="204"/>
      </rPr>
      <t>Оплата за ГСМ</t>
    </r>
  </si>
  <si>
    <r>
      <rPr>
        <b/>
        <sz val="12"/>
        <color theme="1"/>
        <rFont val="Times New Roman"/>
        <family val="1"/>
        <charset val="204"/>
      </rPr>
      <t>ООО "ПРИМО"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</si>
  <si>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"Промснаб"</t>
    </r>
    <r>
      <rPr>
        <sz val="12"/>
        <color theme="1"/>
        <rFont val="Times New Roman"/>
        <family val="1"/>
        <charset val="204"/>
      </rPr>
      <t>Оплата за оборудование для подключения робота</t>
    </r>
  </si>
  <si>
    <r>
      <rPr>
        <b/>
        <sz val="12"/>
        <color theme="1"/>
        <rFont val="Times New Roman"/>
        <family val="1"/>
        <charset val="204"/>
      </rPr>
      <t>ООО "ПФК "ТельферКран"</t>
    </r>
    <r>
      <rPr>
        <sz val="12"/>
        <color theme="1"/>
        <rFont val="Times New Roman"/>
        <family val="1"/>
        <charset val="204"/>
      </rPr>
      <t>Оплата за электротельферы</t>
    </r>
  </si>
  <si>
    <r>
      <rPr>
        <b/>
        <sz val="12"/>
        <color theme="1"/>
        <rFont val="Times New Roman"/>
        <family val="1"/>
        <charset val="204"/>
      </rPr>
      <t>ООО "РЕДУКТОР НТЦ"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</si>
  <si>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"Рейл Континент-Доставка"</t>
    </r>
    <r>
      <rPr>
        <sz val="12"/>
        <color theme="1"/>
        <rFont val="Times New Roman"/>
        <family val="1"/>
        <charset val="204"/>
      </rPr>
      <t xml:space="preserve">Оплата услуг </t>
    </r>
  </si>
  <si>
    <r>
      <rPr>
        <b/>
        <sz val="12"/>
        <color theme="1"/>
        <rFont val="Times New Roman"/>
        <family val="1"/>
        <charset val="204"/>
      </rPr>
      <t>ООО "СИТЕХНО"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</si>
  <si>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"СПЕЦКОМПЛЕКТ-М"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</si>
  <si>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"СПРУТ-ТЕХНОЛОГИЯ"</t>
    </r>
    <r>
      <rPr>
        <sz val="12"/>
        <color theme="1"/>
        <rFont val="Times New Roman"/>
        <family val="1"/>
        <charset val="204"/>
      </rPr>
      <t>Оплата за программное обеспечение на роботизированный комплекс Фанук</t>
    </r>
  </si>
  <si>
    <r>
      <rPr>
        <b/>
        <sz val="12"/>
        <color theme="1"/>
        <rFont val="Times New Roman"/>
        <family val="1"/>
        <charset val="204"/>
      </rPr>
      <t>ООО "СПРУТ-ТЕХНОЛОГИЯ"</t>
    </r>
    <r>
      <rPr>
        <sz val="12"/>
        <color theme="1"/>
        <rFont val="Times New Roman"/>
        <family val="1"/>
        <charset val="204"/>
      </rPr>
      <t>Оплата за консультации по программному обеспечению</t>
    </r>
  </si>
  <si>
    <r>
      <rPr>
        <b/>
        <sz val="12"/>
        <color theme="1"/>
        <rFont val="Times New Roman"/>
        <family val="1"/>
        <charset val="204"/>
      </rPr>
      <t>ООО "Стабильная энергия"</t>
    </r>
    <r>
      <rPr>
        <sz val="12"/>
        <color theme="1"/>
        <rFont val="Times New Roman"/>
        <family val="1"/>
        <charset val="204"/>
      </rPr>
      <t>Оплата за стабилизаторы для подключения комплекса роботов</t>
    </r>
  </si>
  <si>
    <r>
      <rPr>
        <b/>
        <sz val="12"/>
        <color theme="1"/>
        <rFont val="Times New Roman"/>
        <family val="1"/>
        <charset val="204"/>
      </rPr>
      <t xml:space="preserve">ООО "ТД ПромТент" 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</si>
  <si>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"Техно Сервис"</t>
    </r>
    <r>
      <rPr>
        <sz val="12"/>
        <color theme="1"/>
        <rFont val="Times New Roman"/>
        <family val="1"/>
        <charset val="204"/>
      </rPr>
      <t>Оплата за терминалы</t>
    </r>
  </si>
  <si>
    <r>
      <rPr>
        <b/>
        <sz val="12"/>
        <color theme="1"/>
        <rFont val="Times New Roman"/>
        <family val="1"/>
        <charset val="204"/>
      </rPr>
      <t>ООО "Техносвар КС"</t>
    </r>
    <r>
      <rPr>
        <sz val="12"/>
        <color theme="1"/>
        <rFont val="Times New Roman"/>
        <family val="1"/>
        <charset val="204"/>
      </rPr>
      <t xml:space="preserve">Предоплата за машину стыковой сварки </t>
    </r>
  </si>
  <si>
    <r>
      <rPr>
        <b/>
        <sz val="12"/>
        <color theme="1"/>
        <rFont val="Times New Roman"/>
        <family val="1"/>
        <charset val="204"/>
      </rPr>
      <t>ООО "ТК Болт.Ру"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</si>
  <si>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ТМЦ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</si>
  <si>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комплекс сварки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</si>
  <si>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Доплата за манипулятор к сварочному роботу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</si>
  <si>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 xml:space="preserve">Оплата за манипулятор 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</si>
  <si>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комплект промышленного робота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</si>
  <si>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манипулятор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</si>
  <si>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Предоплата за запчасти и услуги по программированию роботов ФАНУК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</si>
  <si>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робот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</si>
  <si>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комплект манипулятора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</si>
  <si>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Предоплата за манипулятор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</si>
  <si>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запчасти и программное обеспечение к роботу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</si>
  <si>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комплекты манипуляторов  робота сварки плоских конструкций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</si>
  <si>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Манипуляторы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</si>
  <si>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Аванс 15% за комплексы манипуляторов робота сварки плоских конструкций</t>
    </r>
  </si>
  <si>
    <r>
      <rPr>
        <b/>
        <sz val="12"/>
        <color theme="1"/>
        <rFont val="Times New Roman"/>
        <family val="1"/>
        <charset val="204"/>
      </rPr>
      <t>ООО "ФАНУК</t>
    </r>
    <r>
      <rPr>
        <sz val="12"/>
        <color theme="1"/>
        <rFont val="Times New Roman"/>
        <family val="1"/>
        <charset val="204"/>
      </rPr>
      <t>"Комплект манипуляторов робота сварки плоских конструкций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</si>
  <si>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Кломплект манипуляторов робота сварки плоских конструкций</t>
    </r>
  </si>
  <si>
    <r>
      <rPr>
        <b/>
        <sz val="12"/>
        <color theme="1"/>
        <rFont val="Times New Roman"/>
        <family val="1"/>
        <charset val="204"/>
      </rPr>
      <t>ООО "Фирма БАЛКОМ"</t>
    </r>
    <r>
      <rPr>
        <sz val="12"/>
        <color theme="1"/>
        <rFont val="Times New Roman"/>
        <family val="1"/>
        <charset val="204"/>
      </rPr>
      <t>Оплата за рельсы</t>
    </r>
  </si>
  <si>
    <r>
      <rPr>
        <b/>
        <sz val="12"/>
        <color theme="1"/>
        <rFont val="Times New Roman"/>
        <family val="1"/>
        <charset val="204"/>
      </rPr>
      <t>ООО "Фирма БАЛКОМ"</t>
    </r>
    <r>
      <rPr>
        <sz val="12"/>
        <color theme="1"/>
        <rFont val="Times New Roman"/>
        <family val="1"/>
        <charset val="204"/>
      </rPr>
      <t>Оплата за рельсы для дробеструйной камеры</t>
    </r>
  </si>
  <si>
    <r>
      <rPr>
        <b/>
        <sz val="12"/>
        <color theme="1"/>
        <rFont val="Times New Roman"/>
        <family val="1"/>
        <charset val="204"/>
      </rPr>
      <t>ООО "ФКЛ РУС"</t>
    </r>
    <r>
      <rPr>
        <sz val="12"/>
        <color theme="1"/>
        <rFont val="Times New Roman"/>
        <family val="1"/>
        <charset val="204"/>
      </rPr>
      <t>Оплата за корпуса с ШП для кантователей на комплекс сварки лонжеронов</t>
    </r>
  </si>
  <si>
    <r>
      <rPr>
        <b/>
        <sz val="12"/>
        <color theme="1"/>
        <rFont val="Times New Roman"/>
        <family val="1"/>
        <charset val="204"/>
      </rPr>
      <t>ООО "Формос ТК"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</si>
  <si>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"Хан+Кольб"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</si>
  <si>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"Холдинг ПРТК"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</si>
  <si>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"ЦЕНТР ТЕМП"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</si>
  <si>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"ЭКА-сервис Компани"</t>
    </r>
    <r>
      <rPr>
        <sz val="12"/>
        <color theme="1"/>
        <rFont val="Times New Roman"/>
        <family val="1"/>
        <charset val="204"/>
      </rPr>
      <t>Оплата за кабель для подключения комплекса робота сварки плоских конструкций</t>
    </r>
  </si>
  <si>
    <r>
      <rPr>
        <b/>
        <sz val="12"/>
        <color theme="1"/>
        <rFont val="Times New Roman"/>
        <family val="1"/>
        <charset val="204"/>
      </rPr>
      <t>ООО "ЭКА-сервис Компани"</t>
    </r>
    <r>
      <rPr>
        <sz val="12"/>
        <color theme="1"/>
        <rFont val="Times New Roman"/>
        <family val="1"/>
        <charset val="204"/>
      </rPr>
      <t>За кабели для монтажа комплекса роботов</t>
    </r>
  </si>
  <si>
    <r>
      <rPr>
        <b/>
        <sz val="12"/>
        <color theme="1"/>
        <rFont val="Times New Roman"/>
        <family val="1"/>
        <charset val="204"/>
      </rPr>
      <t>ООО "ЭКА-сервис Компани"</t>
    </r>
    <r>
      <rPr>
        <sz val="12"/>
        <color theme="1"/>
        <rFont val="Times New Roman"/>
        <family val="1"/>
        <charset val="204"/>
      </rPr>
      <t>Кабель для монтажа комплекса роботов</t>
    </r>
  </si>
  <si>
    <r>
      <rPr>
        <b/>
        <sz val="12"/>
        <color theme="1"/>
        <rFont val="Times New Roman"/>
        <family val="1"/>
        <charset val="204"/>
      </rPr>
      <t>ООО "Эковент К"</t>
    </r>
    <r>
      <rPr>
        <sz val="12"/>
        <color theme="1"/>
        <rFont val="Times New Roman"/>
        <family val="1"/>
        <charset val="204"/>
      </rPr>
      <t>Предоплата за вентиляцию</t>
    </r>
  </si>
  <si>
    <r>
      <rPr>
        <b/>
        <sz val="12"/>
        <color theme="1"/>
        <rFont val="Times New Roman"/>
        <family val="1"/>
        <charset val="204"/>
      </rPr>
      <t>ООО "Эковент К"</t>
    </r>
    <r>
      <rPr>
        <sz val="12"/>
        <color theme="1"/>
        <rFont val="Times New Roman"/>
        <family val="1"/>
        <charset val="204"/>
      </rPr>
      <t>Оплата за вентиляцию</t>
    </r>
  </si>
  <si>
    <r>
      <rPr>
        <b/>
        <sz val="12"/>
        <color theme="1"/>
        <rFont val="Times New Roman"/>
        <family val="1"/>
        <charset val="204"/>
      </rPr>
      <t>ООО "Эковент К"</t>
    </r>
    <r>
      <rPr>
        <sz val="12"/>
        <color theme="1"/>
        <rFont val="Times New Roman"/>
        <family val="1"/>
        <charset val="204"/>
      </rPr>
      <t>Оплата за воздуховоды для дробеструйной камеры</t>
    </r>
  </si>
  <si>
    <r>
      <rPr>
        <b/>
        <sz val="12"/>
        <color theme="1"/>
        <rFont val="Times New Roman"/>
        <family val="1"/>
        <charset val="204"/>
      </rPr>
      <t>ООО "Экосистема"</t>
    </r>
    <r>
      <rPr>
        <sz val="12"/>
        <color theme="1"/>
        <rFont val="Times New Roman"/>
        <family val="1"/>
        <charset val="204"/>
      </rPr>
      <t>Оплата за оборудование</t>
    </r>
  </si>
  <si>
    <r>
      <rPr>
        <b/>
        <sz val="12"/>
        <color theme="1"/>
        <rFont val="Times New Roman"/>
        <family val="1"/>
        <charset val="204"/>
      </rPr>
      <t>ООО "ЭКСПОЛИТ"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</si>
  <si>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"ЭЛЛОЙ"</t>
    </r>
    <r>
      <rPr>
        <sz val="12"/>
        <color theme="1"/>
        <rFont val="Times New Roman"/>
        <family val="1"/>
        <charset val="204"/>
      </rPr>
      <t>Доплата за плазменный источникдля сварки алюминиевых листов</t>
    </r>
  </si>
  <si>
    <r>
      <rPr>
        <b/>
        <sz val="12"/>
        <color theme="1"/>
        <rFont val="Times New Roman"/>
        <family val="1"/>
        <charset val="204"/>
      </rPr>
      <t>ООО "ЮЖНАЯ ТОРГОВАЯ КОМПАНИЯ"</t>
    </r>
    <r>
      <rPr>
        <sz val="12"/>
        <color theme="1"/>
        <rFont val="Times New Roman"/>
        <family val="1"/>
        <charset val="204"/>
      </rPr>
      <t>Оплата за станок рейкодолбежный</t>
    </r>
  </si>
  <si>
    <r>
      <rPr>
        <b/>
        <sz val="12"/>
        <color theme="1"/>
        <rFont val="Times New Roman"/>
        <family val="1"/>
        <charset val="204"/>
      </rPr>
      <t>ООО НПК "Магнит М"</t>
    </r>
    <r>
      <rPr>
        <sz val="12"/>
        <color theme="1"/>
        <rFont val="Times New Roman"/>
        <family val="1"/>
        <charset val="204"/>
      </rPr>
      <t>Оплата за установку индукционного нагрева</t>
    </r>
  </si>
  <si>
    <r>
      <rPr>
        <b/>
        <sz val="12"/>
        <color theme="1"/>
        <rFont val="Times New Roman"/>
        <family val="1"/>
        <charset val="204"/>
      </rPr>
      <t>ООО НПК "Магнит М"</t>
    </r>
    <r>
      <rPr>
        <sz val="12"/>
        <color theme="1"/>
        <rFont val="Times New Roman"/>
        <family val="1"/>
        <charset val="204"/>
      </rPr>
      <t>Доплата за установку индукционного нагрева</t>
    </r>
  </si>
  <si>
    <r>
      <rPr>
        <b/>
        <sz val="12"/>
        <color theme="1"/>
        <rFont val="Times New Roman"/>
        <family val="1"/>
        <charset val="204"/>
      </rPr>
      <t>ООО ПКФ "Еврокран"</t>
    </r>
    <r>
      <rPr>
        <sz val="12"/>
        <color theme="1"/>
        <rFont val="Times New Roman"/>
        <family val="1"/>
        <charset val="204"/>
      </rPr>
      <t>Оплата за таль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</si>
  <si>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Оплата за ТМЦ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</si>
  <si>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Оплата за электротельферы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</si>
  <si>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 xml:space="preserve">Предоплата 50 % за тельферы на покрасочную камеру 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</si>
  <si>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Оплата за троллей в дробеструйной камере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</si>
  <si>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Оплата за тали для монтажа в покраске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</si>
  <si>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Аванс 50% за троллей для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</si>
  <si>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Тролли для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</si>
  <si>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ООО"Юлмарт РСК"</t>
    </r>
    <r>
      <rPr>
        <sz val="12"/>
        <color theme="1"/>
        <rFont val="Times New Roman"/>
        <family val="1"/>
        <charset val="204"/>
      </rPr>
      <t xml:space="preserve"> Оплата за комплектющие к серверам</t>
    </r>
  </si>
  <si>
    <r>
      <rPr>
        <b/>
        <sz val="12"/>
        <color theme="1"/>
        <rFont val="Times New Roman"/>
        <family val="1"/>
        <charset val="204"/>
      </rPr>
      <t>ПАО "Мосэнергосбыт"</t>
    </r>
    <r>
      <rPr>
        <sz val="12"/>
        <color theme="1"/>
        <rFont val="Times New Roman"/>
        <family val="1"/>
        <charset val="204"/>
      </rPr>
      <t>Оплата за электроэнергию</t>
    </r>
  </si>
  <si>
    <r>
      <rPr>
        <b/>
        <sz val="12"/>
        <color theme="1"/>
        <rFont val="Times New Roman"/>
        <family val="1"/>
        <charset val="204"/>
      </rPr>
      <t>УФК по Московской области</t>
    </r>
    <r>
      <rPr>
        <sz val="12"/>
        <color theme="1"/>
        <rFont val="Times New Roman"/>
        <family val="1"/>
        <charset val="204"/>
      </rPr>
      <t xml:space="preserve"> (МРИ ФНС №10)Перечисление налога на доходы физических лиц с выплаченной заработанной платы</t>
    </r>
  </si>
  <si>
    <r>
      <rPr>
        <b/>
        <sz val="12"/>
        <color theme="1"/>
        <rFont val="Times New Roman"/>
        <family val="1"/>
        <charset val="204"/>
      </rPr>
      <t xml:space="preserve">ООО "МЗ Тонар" </t>
    </r>
    <r>
      <rPr>
        <sz val="12"/>
        <color theme="1"/>
        <rFont val="Times New Roman"/>
        <family val="1"/>
        <charset val="204"/>
      </rPr>
      <t>Оплата выполненных работ по монтажу дробеструйной камеры</t>
    </r>
  </si>
  <si>
    <r>
      <t>Договор поставки оборудования : Станция глубокой биологической очистки хозяйственно-бытовых сточных вод модельного ряда "ЮНИЛОС" серии "МЕГА-А" производительностью 50м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/сутки, канализационная насосная станция хозяйственно-бытовых сточных вод.</t>
    </r>
  </si>
  <si>
    <r>
      <t>Договор на шефмонтаж оборудования:Станции глубокой биологической очистки хозяйственно-бытовых сточных вод модельного ряда "ЮНИЛОС серии "МЕГА-А" производительностью 50м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/сутки и канлизационной насосной станции хозяйственно-бытовых сточных вод</t>
    </r>
  </si>
  <si>
    <t xml:space="preserve">Почему не указаны суммы договоров? </t>
  </si>
  <si>
    <t>отсканируйте нормаьно договор, а не прикладывацте по отдельным страницам</t>
  </si>
  <si>
    <t>нужен акт, а не ТН</t>
  </si>
  <si>
    <t xml:space="preserve">нужны акты </t>
  </si>
  <si>
    <t>№8</t>
  </si>
  <si>
    <t>это акт по договору 44, должен быть напротив договора 44, не хватает акта 1, он приложен в том, но не внесен</t>
  </si>
  <si>
    <t>это какой договор? Указан в ПП только счет</t>
  </si>
  <si>
    <t>должен быть приложен договор</t>
  </si>
  <si>
    <t>Спецификация нужна</t>
  </si>
  <si>
    <r>
      <rPr>
        <b/>
        <sz val="12"/>
        <color theme="1"/>
        <rFont val="Times New Roman"/>
        <family val="1"/>
        <charset val="204"/>
      </rPr>
      <t>ООО "Гертек"</t>
    </r>
    <r>
      <rPr>
        <sz val="12"/>
        <color theme="1"/>
        <rFont val="Times New Roman"/>
        <family val="1"/>
        <charset val="204"/>
      </rPr>
      <t>Вентиляционное оборудование</t>
    </r>
  </si>
  <si>
    <t>Есть договор с этой фирмой №12 от 30.05.2016</t>
  </si>
  <si>
    <t>4 720 000</t>
  </si>
  <si>
    <t>добавьте спецификации, не понятно что это и можем учесть или нет</t>
  </si>
  <si>
    <t>переделайте в ПДФ и в хорошем качестве</t>
  </si>
  <si>
    <t xml:space="preserve">Есть договора, впишите их </t>
  </si>
  <si>
    <t>есть договор, но он плохо виден пересканируйте  и оформите</t>
  </si>
  <si>
    <t>если нет договора</t>
  </si>
  <si>
    <t>упр.система</t>
  </si>
  <si>
    <t>не сходится сумма</t>
  </si>
  <si>
    <t>не принято</t>
  </si>
  <si>
    <t xml:space="preserve"> 01.10.2014</t>
  </si>
  <si>
    <t>471/15</t>
  </si>
  <si>
    <t>488/15</t>
  </si>
  <si>
    <t>499/16</t>
  </si>
  <si>
    <t xml:space="preserve"> 30.08.2016</t>
  </si>
  <si>
    <t>493/16</t>
  </si>
  <si>
    <t>501/16</t>
  </si>
  <si>
    <t xml:space="preserve"> 01.11.2016</t>
  </si>
  <si>
    <t xml:space="preserve"> 04.08.2014</t>
  </si>
  <si>
    <t xml:space="preserve"> 29.07.2014</t>
  </si>
  <si>
    <t xml:space="preserve"> 31.08.2014</t>
  </si>
  <si>
    <t xml:space="preserve"> 30.09.2015</t>
  </si>
  <si>
    <t xml:space="preserve"> 22.12.2015</t>
  </si>
  <si>
    <t xml:space="preserve"> 21.03.2016</t>
  </si>
  <si>
    <t xml:space="preserve"> 20.04.2016</t>
  </si>
  <si>
    <t xml:space="preserve"> 15.11.2016</t>
  </si>
  <si>
    <t xml:space="preserve"> 19.05.2014</t>
  </si>
  <si>
    <t>25.08.2015</t>
  </si>
  <si>
    <t>50/0516-29/П/О</t>
  </si>
  <si>
    <t>156-10/16</t>
  </si>
  <si>
    <t>04.10.2016</t>
  </si>
  <si>
    <t>9-Т</t>
  </si>
  <si>
    <t>10-Т</t>
  </si>
  <si>
    <t>11-Т</t>
  </si>
  <si>
    <t>8-Т</t>
  </si>
  <si>
    <t>1268/ЭС</t>
  </si>
  <si>
    <t>326/16</t>
  </si>
  <si>
    <t>МЕ/15-120</t>
  </si>
  <si>
    <t>2/10</t>
  </si>
  <si>
    <t>5-Т</t>
  </si>
  <si>
    <t>14-Т</t>
  </si>
  <si>
    <t>3-Т</t>
  </si>
  <si>
    <t>7-Т</t>
  </si>
  <si>
    <t>СРО-15/02/5732</t>
  </si>
  <si>
    <t>317/16</t>
  </si>
  <si>
    <t>316/16</t>
  </si>
  <si>
    <t>1603-211</t>
  </si>
  <si>
    <t>00210015/16011101</t>
  </si>
  <si>
    <t>339/16</t>
  </si>
  <si>
    <t>340/16</t>
  </si>
  <si>
    <t>347/16</t>
  </si>
  <si>
    <t>20-03/17</t>
  </si>
  <si>
    <t>04-01/17</t>
  </si>
  <si>
    <t>282/15</t>
  </si>
  <si>
    <t>271/15</t>
  </si>
  <si>
    <t>1307/ЭС</t>
  </si>
  <si>
    <t>29.09.2016</t>
  </si>
  <si>
    <t>1512-071</t>
  </si>
  <si>
    <t>03-01/20</t>
  </si>
  <si>
    <t>19-19</t>
  </si>
  <si>
    <t>ТОН-СМ</t>
  </si>
  <si>
    <t>097СБ1970000001</t>
  </si>
  <si>
    <t>04.12.2015</t>
  </si>
  <si>
    <t>3/16/7</t>
  </si>
  <si>
    <t>10.10.2017</t>
  </si>
  <si>
    <t>732/17</t>
  </si>
  <si>
    <t>11/16-1</t>
  </si>
  <si>
    <t>21344/RE69569</t>
  </si>
  <si>
    <t>03.02.2020</t>
  </si>
  <si>
    <t>21231/RE69503</t>
  </si>
  <si>
    <t>16.12.2019</t>
  </si>
  <si>
    <t>165/С-2017</t>
  </si>
  <si>
    <t>16.10.2017</t>
  </si>
  <si>
    <t>23.05.2017</t>
  </si>
  <si>
    <t>JDG571/GP887</t>
  </si>
  <si>
    <t>001-16</t>
  </si>
  <si>
    <t>№СВХ-00157</t>
  </si>
  <si>
    <t>30.01.2015</t>
  </si>
  <si>
    <t>№ 1057/16</t>
  </si>
  <si>
    <t xml:space="preserve">№ВДМ020215-ТО </t>
  </si>
  <si>
    <t>всего</t>
  </si>
  <si>
    <t>окрасочное оборудование</t>
  </si>
  <si>
    <t>Затраты на строит.Механосборочный цех № 2</t>
  </si>
  <si>
    <t>автомобильный цех (оборудование)</t>
  </si>
  <si>
    <t>проверка</t>
  </si>
  <si>
    <t>без договора</t>
  </si>
  <si>
    <t xml:space="preserve"> 13.12.2013</t>
  </si>
  <si>
    <t xml:space="preserve"> 11.02.2014</t>
  </si>
  <si>
    <t xml:space="preserve"> 21.02.2014</t>
  </si>
  <si>
    <t>сумма по ПП 999 707 ?</t>
  </si>
  <si>
    <t xml:space="preserve">Манипулятор №3 счет 240 (33040,00 Евро) </t>
  </si>
  <si>
    <t>19.09.2018</t>
  </si>
  <si>
    <t>выполнение инженерных изысканий ООО "Геодриллинг"</t>
  </si>
  <si>
    <t>получение рыбохозйственных характеристик ООО "СБМ-Групп"</t>
  </si>
  <si>
    <t>Разработка проектной документации ООО "СБМ-Групп"</t>
  </si>
  <si>
    <t>12.07.2019
ДС 15.07.2019</t>
  </si>
  <si>
    <t>03.10.2019</t>
  </si>
  <si>
    <t>Проведение негосударственной экспертизы проектной документации ООО "Негосударственная экспертиза"</t>
  </si>
  <si>
    <t>Поставка оборудования ООО "СБМ-Групп"</t>
  </si>
  <si>
    <t>Вынос и закрепление осей здания очистных емкостей ливневой канализации,  закрепление высотных реперов ООО "СТРОЙСПЕЦМОНТАЖ"</t>
  </si>
  <si>
    <t>Координирование и вынос в натуру контура планируемой застройки очистные сооружения ООО "СТРОЙСПЕЦМОНТАЖ"</t>
  </si>
  <si>
    <t>Строительство ВЛИ-0,4 кв электроснабжения очистных сооружений ООО "Электрик"</t>
  </si>
  <si>
    <t>4</t>
  </si>
  <si>
    <t>Разработка сметной документации с ООО "ПромСтройИнжиниринг МСК"</t>
  </si>
  <si>
    <t>20</t>
  </si>
  <si>
    <t>комплект плазменного оборудования для роботизированного комплекса маленькой профилировочной линии ВЭДКОМ ООО</t>
  </si>
  <si>
    <t>комплект плазменного оборудования для роботизированного комплекса маленькой профилировочной линии ИНВЕСТ МУЛЬТИМОДАЛ АО</t>
  </si>
  <si>
    <t>комплект плазменного оборудования для роботизированного комплекса маленькой профилировочной линии SOLIDAGO TRANS OU</t>
  </si>
  <si>
    <t>комплект плазменного оборудования для роботизированного комплекса маленькой профилировочной линии Таможня</t>
  </si>
  <si>
    <t>СВХ-00157</t>
  </si>
  <si>
    <t>31.01.2015г.</t>
  </si>
  <si>
    <t>02.02.2015 г.</t>
  </si>
  <si>
    <t>27.01.2020 г</t>
  </si>
  <si>
    <t>Бак гидравлический TOP VICTORY КИТАЙ</t>
  </si>
  <si>
    <t>29.12.2007 г.</t>
  </si>
  <si>
    <t>№2007RL-588</t>
  </si>
  <si>
    <t>10013160/130420/0192737</t>
  </si>
  <si>
    <t>Пресс гидравлический TOP VICTORY КИТАЙ</t>
  </si>
  <si>
    <t>ООО "ПВК-монтаж"</t>
  </si>
  <si>
    <t>SOLIDAGO TRANS OU (доставка)</t>
  </si>
  <si>
    <t>ООО "Рейл Континент+Доставка" (доставка)</t>
  </si>
  <si>
    <t>ВЛАДИМИРСКАЯ ТАМОЖНЯ (доставка )</t>
  </si>
  <si>
    <t>ВЭДКОМ ООО (доставка)</t>
  </si>
  <si>
    <t>Таможня (доставка)</t>
  </si>
  <si>
    <t>ИНВЕСТ МУЛЬТИМОДАЛ АО  (доставка)</t>
  </si>
  <si>
    <t>SOLIDAGO TRANS OU  (доставка)</t>
  </si>
  <si>
    <t>ООО "Кит-Сервис"</t>
  </si>
  <si>
    <t>ООО "Вэдком"(доставка)</t>
  </si>
  <si>
    <t>SYDENHAM ASSOCIATES LP(доставка)</t>
  </si>
  <si>
    <t>ООО "СРП "Росстанкосервис"</t>
  </si>
  <si>
    <t>23-11-16ПМ</t>
  </si>
  <si>
    <t>12.04.2016</t>
  </si>
  <si>
    <t>500/16</t>
  </si>
  <si>
    <t xml:space="preserve"> 08.11.2016  </t>
  </si>
  <si>
    <t xml:space="preserve"> 28.12.2016  </t>
  </si>
  <si>
    <t xml:space="preserve"> 18.01.2017  </t>
  </si>
  <si>
    <t xml:space="preserve"> 02.03.2017  </t>
  </si>
  <si>
    <t>05.12.2017</t>
  </si>
  <si>
    <t>ДС №1 .к дог.23-10-17ПМ от 23.10.17</t>
  </si>
  <si>
    <t>13-04-18м</t>
  </si>
  <si>
    <t xml:space="preserve"> 28.11.2017  </t>
  </si>
  <si>
    <t xml:space="preserve"> 27.04.2018  </t>
  </si>
  <si>
    <t xml:space="preserve"> 24.11.2017  </t>
  </si>
  <si>
    <t>№45/2016</t>
  </si>
  <si>
    <t>Дата</t>
  </si>
  <si>
    <t>41/2016</t>
  </si>
  <si>
    <t xml:space="preserve"> 18.01.2017</t>
  </si>
  <si>
    <t>Доп.с.№1 к №44/2017</t>
  </si>
  <si>
    <t>18.04.2019</t>
  </si>
  <si>
    <t>01/06-Д-463</t>
  </si>
  <si>
    <t>курсовая разница</t>
  </si>
  <si>
    <t>Манипуляторы покраска №90403330 от 24.07.18г сумма 566 400 Евро</t>
  </si>
  <si>
    <t>№ВДМ020215-ТО</t>
  </si>
  <si>
    <t xml:space="preserve"> 24.04.2020 
</t>
  </si>
  <si>
    <t xml:space="preserve">30.06.2020 
</t>
  </si>
  <si>
    <t xml:space="preserve">04.08.2020 
</t>
  </si>
  <si>
    <t xml:space="preserve"> 28.11.2016 </t>
  </si>
  <si>
    <t>28-11-2016</t>
  </si>
  <si>
    <t xml:space="preserve"> 08.12.2016</t>
  </si>
  <si>
    <t xml:space="preserve"> 13.04.2017</t>
  </si>
  <si>
    <t xml:space="preserve"> 12.10.2017</t>
  </si>
  <si>
    <t xml:space="preserve"> 13.10.2017</t>
  </si>
  <si>
    <t xml:space="preserve"> 01.11.2017</t>
  </si>
  <si>
    <t xml:space="preserve"> 10.11.2017  </t>
  </si>
  <si>
    <t>ПРЕСТИЖ ПРОЕКТНАЯ МАСТЕРСКАЯ О
 (Проект строительства сушильных камер №1 в осях "18" -"21" и №2 в осях "25" - "28")</t>
  </si>
  <si>
    <t>ПРЕСТИЖ ПРОЕКТНАЯ МАСТЕРСКАЯ О
(Проект строительства сушильных камер №1 в осях "18" -"21" и №2 в осях "25" - "28")</t>
  </si>
  <si>
    <t>ПРЕСТИЖ ПРОЕКТНАЯ МАСТЕРСКАЯ О
(Проект усиления подкрановой балки на участке окрасочно-сушильного комплекса)</t>
  </si>
  <si>
    <t>ООО ТЕБЛОК
(Монтаж ворот теплоизоляционных автоматических с электроприводом в окрасочно-сушильный комплекс камера №2)</t>
  </si>
  <si>
    <t>ООО СТРОЙРЕСУРС
(Электромонтажные работы по освещению покрасочной камеры)</t>
  </si>
  <si>
    <t>ООО СК КЛЕСТ
(Комплектация, монтаж сэндвич -панелей , защитного остекления в раме, дверей 900х2100 в  одной окрасочной и одной сушильной камер)</t>
  </si>
  <si>
    <t>ООО АРМАДА-СТРОЙ
(Демонтаж существующих установок)</t>
  </si>
  <si>
    <t>ООО ЧОП МЕГАПОЛИС-ОПТИМА
(Монтаж системы пожарной сигнализации, порошкового пожаротушения и подключения интерфейса на окрасочно-сушильную камеру №1)</t>
  </si>
  <si>
    <t>ООО ПКФ ЭЛЕКТРОН
(Установка троллей (повороты) на новом покрасочно-сушильном комплексе)</t>
  </si>
  <si>
    <t>ООО АРМАДА-СТРОЙ
(Разработка Проекта стадии "Р" в окрасочно-сушильном комплексе)</t>
  </si>
  <si>
    <t>ИП Т.Г.БОРОДИЧ 
(Прокладка теплотрассы с кровли в покрас.камере№1)</t>
  </si>
  <si>
    <t>ИП Т.Г.БОРОДИЧ 
(Монтаж узлов регулирования калориферов в окрасочно-сушильном комплексе (окрасочная камера №1)</t>
  </si>
  <si>
    <t>ООО ПКФ ЭЛЕКТРОН
(Электроосвещение покрасочной камеры)</t>
  </si>
  <si>
    <t>ООО АВАНГАРД-СТРОЙ
(Комплектация и монтаж приточно-вытяжной вентиляции окрасочно-сушильных камер кузовов и рам)</t>
  </si>
  <si>
    <t>ООО ТЕБЛОК
(Монтаж ворот теплоизоляционных автоматических с электроприводом)</t>
  </si>
  <si>
    <t>ООО ПКФ ТЕЛЬФЕРКРАН
(Тралеи для монтажа монорельсового пути на окрасочно-сушильной линии)</t>
  </si>
  <si>
    <t xml:space="preserve">ООО ПКФ ТЕЛЬФЕРКРАН
(Таль цепная электр. BY107M 5тн, 9м) </t>
  </si>
  <si>
    <t>ИП Т.Г.БОРОДИЧ 
(Прокладка теплотрассы  покрасочно-сушильного комплекса)</t>
  </si>
  <si>
    <t>ООО ПКФ ЭЛЕКТРОН 
(Электроосвещение покрасочной камеры)</t>
  </si>
  <si>
    <t>ООО СМО СТАЛЬМСТИЛЬ 
(Поставка, монтаж, установка электропривода ворот в покрасочный комплекс)</t>
  </si>
  <si>
    <t>ООО СК КЛЕСТ
(Устройство пола из сэндвич цинк-краш. в покрасочный комплекс №1)</t>
  </si>
  <si>
    <t>ООО СК КЛЕСТ 
(Остекление защитное в покрасочный комплекс)</t>
  </si>
  <si>
    <t>ИП Т.Г. БОРОДИЧ
(Прокладка труб пневмопровода в покрасочную камеру №1   покрасочно-сушильного комплекса)</t>
  </si>
  <si>
    <t xml:space="preserve"> 03.08.2016  </t>
  </si>
  <si>
    <t xml:space="preserve"> 02.11.2016  </t>
  </si>
  <si>
    <t>530/16</t>
  </si>
  <si>
    <t>531/16</t>
  </si>
  <si>
    <t>567/17</t>
  </si>
  <si>
    <t>589/17</t>
  </si>
  <si>
    <t xml:space="preserve"> 09.11.2017  </t>
  </si>
  <si>
    <t>511/16</t>
  </si>
  <si>
    <t>512/16</t>
  </si>
  <si>
    <t xml:space="preserve"> 30.08.2016  </t>
  </si>
  <si>
    <t>516/16</t>
  </si>
  <si>
    <t xml:space="preserve"> 07.07.2017  </t>
  </si>
  <si>
    <t>ИП Т.Г.БОРОДИЧ
(Прокладка труб отопления в камере сушки   покрасочно-сушильного комплекса)</t>
  </si>
  <si>
    <t xml:space="preserve"> 02.10.2017  </t>
  </si>
  <si>
    <t xml:space="preserve"> 30.05.2017  </t>
  </si>
  <si>
    <t xml:space="preserve"> 06.12.2017  </t>
  </si>
  <si>
    <t xml:space="preserve"> 06.04.2018</t>
  </si>
  <si>
    <t xml:space="preserve"> 17.04.2018</t>
  </si>
  <si>
    <t>ПРЕСТИЖ ПРОЕКТНАЯ МАСТЕРСКАЯ О
(проект устройства площадки и навеса с ограждениями для размещения на ней переносимых камер приточно-вытяжной вентиляции на кровле кузовного цеха)</t>
  </si>
  <si>
    <t xml:space="preserve"> 17.04.2018  </t>
  </si>
  <si>
    <t xml:space="preserve"> 18.04.2018  </t>
  </si>
  <si>
    <t xml:space="preserve"> 09.07.2018  </t>
  </si>
  <si>
    <t xml:space="preserve"> 02.02.2017  </t>
  </si>
  <si>
    <t>21-03-17ПМ</t>
  </si>
  <si>
    <t>ДС 2 к 21-03-17ПМ</t>
  </si>
  <si>
    <t>ООО СК КЛЕСТ
(Комплектация, монтаж сэндвич -панелей и монтаж потолка  одной окрасочной и одной сушильной камер; Остекление защитное , стены сэндвич -панели краш)</t>
  </si>
  <si>
    <t xml:space="preserve"> 18.07.2017  </t>
  </si>
  <si>
    <t>ООО СК КЛЕСТ
(Демонтаж уголков крепежа , сварочные работы по элементам)</t>
  </si>
  <si>
    <t>ДС 1 к 21-03-17ПМ</t>
  </si>
  <si>
    <t>ДС 3 к 21-03-17ПМ</t>
  </si>
  <si>
    <t xml:space="preserve">Доп.соглашение №2 к дог.№30-08-17ПМ     </t>
  </si>
  <si>
    <t xml:space="preserve"> 26.09.2017</t>
  </si>
  <si>
    <t>ООО СК КЛЕСТ
(Поставка и монтаж металлокаркаса, сэндвич панелей, остекления Покрасочной , сушильной камер и монорельса)</t>
  </si>
  <si>
    <t>№22-11-18ПМ</t>
  </si>
  <si>
    <t xml:space="preserve">ДС №1 к дог №22-11-18ПМ     </t>
  </si>
  <si>
    <t xml:space="preserve">ДС №2 к дог.№22-11-18ПМ     </t>
  </si>
  <si>
    <t>12.09.2016</t>
  </si>
  <si>
    <t>03-08-16ПМ ДС №2</t>
  </si>
  <si>
    <t xml:space="preserve">03-08-16ПМ ДС №1 </t>
  </si>
  <si>
    <t>03-08-16ПМ</t>
  </si>
  <si>
    <t>16.08.2016</t>
  </si>
  <si>
    <t xml:space="preserve">03-08-16ПМ ДС №3 </t>
  </si>
  <si>
    <t>06.04.2020</t>
  </si>
  <si>
    <t xml:space="preserve"> 31.08.2017  </t>
  </si>
  <si>
    <t xml:space="preserve"> 25.09.2017  </t>
  </si>
  <si>
    <t xml:space="preserve"> 20.11.2017  </t>
  </si>
  <si>
    <t>19.09.2017</t>
  </si>
  <si>
    <t xml:space="preserve"> 21.06.18  </t>
  </si>
  <si>
    <t xml:space="preserve">22.12.2017		</t>
  </si>
  <si>
    <t xml:space="preserve"> 29.12.2017		</t>
  </si>
  <si>
    <t xml:space="preserve"> 29.11.2017</t>
  </si>
  <si>
    <t xml:space="preserve"> 07.02.2018</t>
  </si>
  <si>
    <t xml:space="preserve"> 03.10.2017  </t>
  </si>
  <si>
    <t xml:space="preserve"> 29.05.2018  </t>
  </si>
  <si>
    <t>19.12.2018</t>
  </si>
  <si>
    <t>ТОНАР-191218</t>
  </si>
  <si>
    <t xml:space="preserve"> 30.01.2019</t>
  </si>
  <si>
    <t>№13-19</t>
  </si>
  <si>
    <t xml:space="preserve"> 17.02.2016  </t>
  </si>
  <si>
    <t>04.09.2018</t>
  </si>
  <si>
    <t>04-19</t>
  </si>
  <si>
    <t>353/16</t>
  </si>
  <si>
    <t>362/16</t>
  </si>
  <si>
    <t>363/16</t>
  </si>
  <si>
    <t>379/17</t>
  </si>
  <si>
    <t>409/18</t>
  </si>
  <si>
    <t>334/16</t>
  </si>
  <si>
    <t xml:space="preserve">11.07.2016		</t>
  </si>
  <si>
    <t>338/16</t>
  </si>
  <si>
    <t xml:space="preserve"> 29.07.2016		</t>
  </si>
  <si>
    <t>349/16</t>
  </si>
  <si>
    <t xml:space="preserve">05.10.2016		</t>
  </si>
  <si>
    <t xml:space="preserve"> ООО СК КЛЕСТ
(Комплектация, монтаж сэндвич -панелей , защитного остекления в раме, дверей 900х2100 в  одной окрасочной и одной сушильной камер №2)</t>
  </si>
  <si>
    <t>И.П. БОРОДИЧ Т.Г. 
(Прокладка дополнительной водяной теплотрассы из котельной к камерам сушки)</t>
  </si>
  <si>
    <t>ИП БОРОДИЧ Т.Г.
(Прокладка труб отопления в камере сушки №2 ОСК)</t>
  </si>
  <si>
    <t>ИП БОРОДИЧ Т.Г.
(работы по прокладке доп.труб  и установке зап.арматуры от теплотрассы)</t>
  </si>
  <si>
    <t>ИП БОРОДИЧ Т.Г.
(Обвязка дополнительных теплообменников в камере сушки №2 покрасочно-сушильного комплекса)</t>
  </si>
  <si>
    <t>ИП БОРОДИЧ Т.Г.
(работы по монтажу узлов регулирования калориферов в окрас.камере№2)</t>
  </si>
  <si>
    <t>ИП БОРОДИЧ Т.Г.
(Работы по установке теплообменников в сушильную камеру мелких деталей)</t>
  </si>
  <si>
    <t>ИП БОРОДИЧ Т.Г.
(Работы по установке и обвязке узлов подмеса, подвод теплотрассы в сушильную камеру мелких деталей)</t>
  </si>
  <si>
    <t>ИП БОРОДИЧ Т.Г.
(устройство пневмопровода на камеру дробеструйки сушильного комплекса)</t>
  </si>
  <si>
    <t>ИП БОРОДИЧ Т.Г.
(Переоборудование пневмомагистрали  старой дробеструйной камеры)</t>
  </si>
  <si>
    <t>ООО "Спрут-технология" 
(программное обеспечение на роботизированный комплекс Фанук)</t>
  </si>
  <si>
    <t>ИП БОРОДИЧ Т.Г. 
(Прокладка теплотрассы  к венткамере  загот.цеха №1)</t>
  </si>
  <si>
    <t>ИП БОРОДИЧ Т.Г.
 (Ввент. камеры МСЦ №2 и заг.цеха  Работы по прокладке трубопровода внутри)</t>
  </si>
  <si>
    <t>ИП БОРОДИЧ Т.Г. 
(Приточная вентиляции МСЦ №2 работы по устройству)</t>
  </si>
  <si>
    <t>ПРЕСТИЖ ПРОЕКТНАЯ МАСТЕРСКАЯ 
 (проект усиления ферм на кровле цеха №2 по Доп.соглашению№1 к Договору №494/16 от 15/03/16г.)</t>
  </si>
  <si>
    <t>ООО СК КЛЕСТ 
Комплектация, монтаж двух вент.камер в МСЦ №2 и заг.цехе</t>
  </si>
  <si>
    <t>ООО СК КЛЕСТ
 (Демонтаж каркаса вентиляции, вентиляционного оборудования в заготовительном цехе)</t>
  </si>
  <si>
    <t>ООО СК КЛЕСТ 
(Комплектация, монтаж вентиляционной камеры в заготовительном цехе №1)</t>
  </si>
  <si>
    <t>ООО СК КЛЕСТ 
(Монтаж пола сэндвич панели краш-цинк 0,5х0,7 100 мм мин вата)</t>
  </si>
  <si>
    <t>ИП БОРОДИЧ Т.Г. 
(Работы по выполнению обжимки , модернизации системы охлаждения в автом.цехе (Участок Обжимки осей)</t>
  </si>
  <si>
    <t>ООО ПКФ ЭЛЕКТРОН (Энергоснабжение вентиляции механосборочного корпуса)</t>
  </si>
  <si>
    <t>ООО ПМК-95 
(Услуги автокрана для РСУ 3 м/смена монтаж вентиляции Заготовительного цеха №1)</t>
  </si>
  <si>
    <t>ООО РОНА СЕРВИС
(Обвязка калориферов на вентиляции)</t>
  </si>
  <si>
    <t>ООО РОНА СЕРВИС (Изготов.воздуховодов и монтаж системы вентиляции)</t>
  </si>
  <si>
    <t>ООО ПКФ ЭЛЕКТРОН 
(Доделка электроснабжения вентиляции заготовительного цеха)</t>
  </si>
  <si>
    <t>ООО РОНА СЕРВИС
(Монтажные работы по дополнительному оборудованию вент.№3)</t>
  </si>
  <si>
    <t xml:space="preserve">PROMAT SCHNEIDTECHNIK GMBH
комплект плазменного оборудования для роботизированного комплекса маленькой профилировочной линии </t>
  </si>
  <si>
    <t>ООО ФАНУК
Манипулятор АМ-120ID -30P-A-W в к-те с контроллером</t>
  </si>
  <si>
    <t xml:space="preserve">ООО ПЛ-ТЕХНО
Установка охлаждения жидкости CHWT 162 </t>
  </si>
  <si>
    <t>ООО АРМАДА-СТРОЙ
(Монтаж комплекта  воздуховодов д/покрасочно-сушильной камеры №2)</t>
  </si>
  <si>
    <t>ООО АРМАДА-СТРОЙ
(Монтажные и пуско-наладочные работы по Система П1В1, П2В2, П3В3)</t>
  </si>
  <si>
    <t>ООО ЧОП МЕГАПОЛИС-ОПТИМА 
(Монтаж системы пожарной сигнализации, порошкового пожаротушения и подключения интерфейса на окрасочно-сушильную камеру №4)</t>
  </si>
  <si>
    <t>ООО ЧОП МЕГАПОЛИС-ОПТИМА
(Монтаж системы пожарной сигнализации, порошкового пожаротушения и подключения интерфейса на окрасочно-сушильную камеру №4)</t>
  </si>
  <si>
    <t>ООО АРМАДА-СТРОЙ
(Монтажные и пуско-наладочные работы по Система ВЗ)</t>
  </si>
  <si>
    <t>ООО ВЕЗА
Комплект автоматики</t>
  </si>
  <si>
    <t>ООО ЗД-ТРАНС
Комплект автоматики</t>
  </si>
  <si>
    <t>ООО ПКФ ТЕЛЬФЕРКРАН 
Тельфер электрический Т-10212  5тн, 6м</t>
  </si>
  <si>
    <t>ПРЕСТИЖ ПРОЕКТНАЯ МАСТЕРСКАЯ
(проект крепление для тельферов двух цепных кантователей над дробеструйной камерой)</t>
  </si>
  <si>
    <t>ПРЕСТИЖ ПРОЕКТНАЯ МАСТЕРСКАЯ
(проект установки дробеструйной камеры)</t>
  </si>
  <si>
    <t>ООО ЦЕНТР АВТОМАТИЗАЦИИ И РОБОТОТИЗАЦИИ
(техзадание на проектирование окрасочной камеры с предоставлением чертежей)</t>
  </si>
  <si>
    <t>ПРЕСТИЖ ПРОЕКТНАЯ МАСТЕРСКАЯ
(проект крепления монорельса к фермам покрытия для покрасочно-сушильного комплекса)</t>
  </si>
  <si>
    <t>ООО СК КЛЕСТ
 (Установка сэндвич-панелей и наклейка резины)</t>
  </si>
  <si>
    <t>ООО СК КЛЕСТ
 (Установка бронированных окон и откатных двустворчатых ворот)</t>
  </si>
  <si>
    <t>ООО СК КЛЕСТ
 (03-08-16ПМ поставка и монтаж дроб.камеры)</t>
  </si>
  <si>
    <t>ООО СК КЛЕСТ
(Обрамление резиной швов сендвич-панелей,рам бронированных окон,дверей)</t>
  </si>
  <si>
    <t>ООО ПКФ ЭЛЕКТРОН
(Освещение и силовая сеть дробеструйки)</t>
  </si>
  <si>
    <t>ООО ПКФ ЭЛЕКТРОН
(Разборка существующей дробеструйки)</t>
  </si>
  <si>
    <t>ООО РЕШЕНИЯ ДЛЯ ОКОН
(Монтаж и пуско-наладочные работы (с материалами) автоматики откатных ворот новой дробеструйной камеры)</t>
  </si>
  <si>
    <t>ООО ИНН 5034018284 ЭЛЕКТРИК (Монтаж двух кабельных линий 0,4 кВ для участка компрессоров покраски (токарный цех)</t>
  </si>
  <si>
    <t>22-Т</t>
  </si>
  <si>
    <t xml:space="preserve"> 31.10.17  </t>
  </si>
  <si>
    <t>1-Т</t>
  </si>
  <si>
    <t>17-Т</t>
  </si>
  <si>
    <t>19-Т</t>
  </si>
  <si>
    <t>бн</t>
  </si>
  <si>
    <t xml:space="preserve"> 02.11.17  </t>
  </si>
  <si>
    <t>Ф302</t>
  </si>
  <si>
    <t>Ф378</t>
  </si>
  <si>
    <t>1/787</t>
  </si>
  <si>
    <t>УТ-1533; УТ-1608; УТ-2294</t>
  </si>
  <si>
    <t>4779</t>
  </si>
  <si>
    <t>Поступление  по вх.док. INV19DL220B от 30.12.2020</t>
  </si>
  <si>
    <t xml:space="preserve"> INV19DL220B</t>
  </si>
  <si>
    <t>Документ</t>
  </si>
  <si>
    <t>Содержание</t>
  </si>
  <si>
    <t>Дт</t>
  </si>
  <si>
    <t>Кт</t>
  </si>
  <si>
    <t>Сумма</t>
  </si>
  <si>
    <t>Субконто Дт</t>
  </si>
  <si>
    <t>Субконто Кт</t>
  </si>
  <si>
    <t>Номер журнала</t>
  </si>
  <si>
    <t>17.03.2020 0:00:00</t>
  </si>
  <si>
    <t>Поступление товаров и услуг 00000004178 от 17.03.2020 0:00:00</t>
  </si>
  <si>
    <t>Поступление  по вх.док. INV19DL220A от 27.12.2019</t>
  </si>
  <si>
    <t>08.04</t>
  </si>
  <si>
    <t>60.21</t>
  </si>
  <si>
    <t>Конвейер подачи труб</t>
  </si>
  <si>
    <t>TOP VICTORY КИТАЙ</t>
  </si>
  <si>
    <t>ОС</t>
  </si>
  <si>
    <t>Количество</t>
  </si>
  <si>
    <t>Основные средства</t>
  </si>
  <si>
    <t>ОБОРУДОВАНИЕ сумма 545000 $ (Контракт №2007RL-588 от 29.12.2007г)</t>
  </si>
  <si>
    <t>Валюта</t>
  </si>
  <si>
    <t>USD</t>
  </si>
  <si>
    <t>Шкаф управления индуктором предварительного нагрева</t>
  </si>
  <si>
    <t>Позиционер</t>
  </si>
  <si>
    <t>Индуктор нагрева</t>
  </si>
  <si>
    <t>Контроллер</t>
  </si>
  <si>
    <t>Комплект оснастки</t>
  </si>
  <si>
    <t>Источник питания предварительного нагрева</t>
  </si>
  <si>
    <t>Источник питания основного нагрева</t>
  </si>
  <si>
    <t>Насосная группа</t>
  </si>
  <si>
    <t>Источник тока основного нагрева</t>
  </si>
  <si>
    <t>Стол подачи заготовок</t>
  </si>
  <si>
    <t>Роликовый транспортер</t>
  </si>
  <si>
    <t>Машина нанесения графита</t>
  </si>
  <si>
    <t>Комплект труб</t>
  </si>
  <si>
    <t>Стол хранения заготовок</t>
  </si>
  <si>
    <t>Комплект деталей оснастки</t>
  </si>
  <si>
    <t xml:space="preserve">Контрольная панель управления </t>
  </si>
  <si>
    <t>Трубы соединительные</t>
  </si>
  <si>
    <t>Комплект клапанов</t>
  </si>
  <si>
    <t>Шкаф электрический</t>
  </si>
  <si>
    <t>17.03.2020 1:00:00</t>
  </si>
  <si>
    <t>Поступление доп. расходов 00000000380 от 17.03.2020 1:00:00</t>
  </si>
  <si>
    <t xml:space="preserve"> по вх.док. INV19DL220A от 27.12.2020</t>
  </si>
  <si>
    <t xml:space="preserve"> </t>
  </si>
  <si>
    <t>20.04.2020 23:59:59</t>
  </si>
  <si>
    <t>Поступление доп. расходов 00000000431 от 20.04.2020 23:59:59</t>
  </si>
  <si>
    <t xml:space="preserve"> по вх.док. INV19DL220B от 30.12.2020</t>
  </si>
  <si>
    <t xml:space="preserve">Пресс гидравлический </t>
  </si>
  <si>
    <t>Бак гидравлический</t>
  </si>
  <si>
    <t>Поступление товаров и услуг 00000004873 от 20.04.2020 23:59:59</t>
  </si>
  <si>
    <t>INV19DL220A</t>
  </si>
  <si>
    <t>ТАМОЖНЯ</t>
  </si>
  <si>
    <t>ф0413-02</t>
  </si>
  <si>
    <t>у0413-01</t>
  </si>
  <si>
    <t>0033-20с</t>
  </si>
  <si>
    <t>0034-20</t>
  </si>
  <si>
    <t>0035-20с</t>
  </si>
  <si>
    <t>0036-20с</t>
  </si>
  <si>
    <t>0066-20</t>
  </si>
  <si>
    <t>51 коррект.долга</t>
  </si>
  <si>
    <t xml:space="preserve"> 23.05.18  </t>
  </si>
  <si>
    <t>3267/01</t>
  </si>
  <si>
    <t>3268/01</t>
  </si>
  <si>
    <t>4180/01</t>
  </si>
  <si>
    <t>4179/01</t>
  </si>
  <si>
    <t>4826/01</t>
  </si>
  <si>
    <t>5988/01</t>
  </si>
  <si>
    <t>21359/RE69598</t>
  </si>
  <si>
    <t xml:space="preserve"> 212020ЕТ</t>
  </si>
  <si>
    <t>202019ET</t>
  </si>
  <si>
    <t xml:space="preserve">221
</t>
  </si>
  <si>
    <t>72020ET</t>
  </si>
  <si>
    <t>ООО ФАНУК 
Манипулятор R2000IB210F-30B-B-V2A/ 0-E79487 в комплекте с контроллером</t>
  </si>
  <si>
    <t>2504-17</t>
  </si>
  <si>
    <t xml:space="preserve">86
</t>
  </si>
  <si>
    <t xml:space="preserve">25.05.2017
</t>
  </si>
  <si>
    <t xml:space="preserve">19.05.2020
</t>
  </si>
  <si>
    <t>ГТД по импорту 00000000070 от 14.03.2020 23:59:59</t>
  </si>
  <si>
    <t>Таможенная пошлина</t>
  </si>
  <si>
    <t>76.05</t>
  </si>
  <si>
    <t>Таможенный сбор</t>
  </si>
  <si>
    <t>ГТД по импорту 00000000079 от 08.04.2020 23:59:59</t>
  </si>
  <si>
    <t>Вакуумная присоска арт. 853-2121</t>
  </si>
  <si>
    <t>ГТД по импорту 00000000088 от 16.04.2020 23:59:59</t>
  </si>
  <si>
    <t>4/2704</t>
  </si>
  <si>
    <t>РАГНАР МАШИНЕРИ ООО (Погрузочно-разгрузочные работы пресса, бака)</t>
  </si>
  <si>
    <t xml:space="preserve">ООО МЕДИА  ИНЖИНИРИНГ
Установка роботизированной окраски грунта
</t>
  </si>
  <si>
    <t>№ Т24/07/18</t>
  </si>
  <si>
    <t>24.07.2018</t>
  </si>
  <si>
    <t>Т04/09/18</t>
  </si>
  <si>
    <t>15.07.2019</t>
  </si>
  <si>
    <t>Т09/07/19</t>
  </si>
  <si>
    <t>ООО МЕДИА  ИНЖИНИРИНГ
Нагреватель жидкости высокого давления Viscon</t>
  </si>
  <si>
    <t xml:space="preserve"> 10.02.20  </t>
  </si>
  <si>
    <t xml:space="preserve">ООО МЕДИА  ИНЖИНИРИНГ
Оборудование для новой покрасочной камеры </t>
  </si>
  <si>
    <t>МЕДИА  ИНЖИНИРИНГ ООО
проектирование</t>
  </si>
  <si>
    <t>с покраски № 2</t>
  </si>
  <si>
    <t>10.05.2018</t>
  </si>
  <si>
    <t>03.08.2020</t>
  </si>
  <si>
    <t>05.05.2017</t>
  </si>
  <si>
    <t>17.10.2016</t>
  </si>
  <si>
    <t>18.09.2017</t>
  </si>
  <si>
    <t>20.12.2017</t>
  </si>
  <si>
    <t>16.02.2018</t>
  </si>
  <si>
    <t>19.06.2018</t>
  </si>
  <si>
    <t>20.04.2019</t>
  </si>
  <si>
    <t>17.12.2018</t>
  </si>
  <si>
    <t>20.12.2016</t>
  </si>
  <si>
    <t>13.04.2018</t>
  </si>
  <si>
    <t>16.01.2018</t>
  </si>
  <si>
    <t>22.11.2018</t>
  </si>
  <si>
    <t>14.01.2019</t>
  </si>
  <si>
    <t>19.02.2019</t>
  </si>
  <si>
    <t>ООО ЭЛЕКТРИК
(Монтаж ВРУ на участке покраски №2)</t>
  </si>
  <si>
    <t>счет №20</t>
  </si>
  <si>
    <t>счет № 1</t>
  </si>
  <si>
    <t>27.11.2018</t>
  </si>
  <si>
    <t>счет № 17</t>
  </si>
  <si>
    <t>30.08.17г.</t>
  </si>
  <si>
    <t>счет № 19</t>
  </si>
  <si>
    <t>13.09.18г.</t>
  </si>
  <si>
    <t xml:space="preserve"> 27.10.17г</t>
  </si>
  <si>
    <t>счет № 22</t>
  </si>
  <si>
    <t xml:space="preserve">15.05.2019
</t>
  </si>
  <si>
    <t>счет № 3430</t>
  </si>
  <si>
    <t>23.10.17г.</t>
  </si>
  <si>
    <t xml:space="preserve"> 24.10.2016г.</t>
  </si>
  <si>
    <t>счет № 422</t>
  </si>
  <si>
    <t>21701976
2170212</t>
  </si>
  <si>
    <t>24.10.2017
17.11.2017</t>
  </si>
  <si>
    <t>10103080/251217/0061461</t>
  </si>
  <si>
    <t xml:space="preserve"> счет №240</t>
  </si>
  <si>
    <t>29/02/2016 г.</t>
  </si>
  <si>
    <t>сч. №90406957</t>
  </si>
  <si>
    <t>90403330</t>
  </si>
  <si>
    <t xml:space="preserve"> 02.10.15г.</t>
  </si>
  <si>
    <t>27.02.17г.</t>
  </si>
  <si>
    <t>счет №УТ-1042</t>
  </si>
  <si>
    <t>13.06.2017</t>
  </si>
  <si>
    <t>07/05/2020</t>
  </si>
  <si>
    <t>10103080/190520/0031181 (21359/RE69598)</t>
  </si>
  <si>
    <t>РМ10-583</t>
  </si>
  <si>
    <t xml:space="preserve"> сч.№2211</t>
  </si>
  <si>
    <t xml:space="preserve">14/06/16 </t>
  </si>
  <si>
    <t>счет №8805</t>
  </si>
  <si>
    <t>05/02/2016</t>
  </si>
  <si>
    <t>счет №1754</t>
  </si>
  <si>
    <t>21.02.2019</t>
  </si>
  <si>
    <t xml:space="preserve"> счет №3375</t>
  </si>
  <si>
    <t>09.12.16г.</t>
  </si>
  <si>
    <t>22-07/16</t>
  </si>
  <si>
    <t>06.06.19г.</t>
  </si>
  <si>
    <t>счет №99</t>
  </si>
  <si>
    <t>11..10.2017</t>
  </si>
  <si>
    <t>01/08</t>
  </si>
  <si>
    <t>01/07</t>
  </si>
  <si>
    <t>11.04.2017</t>
  </si>
  <si>
    <t>1104/17</t>
  </si>
  <si>
    <t>18.12.2017</t>
  </si>
  <si>
    <t>21.04.2017</t>
  </si>
  <si>
    <t>Комплектующие TOP VICTORY КИТАЙ</t>
  </si>
  <si>
    <t>Всего затрат:</t>
  </si>
  <si>
    <t>ООО ФАНУК 
Манипулятор Р250IB15-LH-30P-A-W в к-те с контроллером (4 шт.)</t>
  </si>
  <si>
    <t>Шефмонтаж оборудования ООО "СБМ-Групп"</t>
  </si>
  <si>
    <t>Строительно-монтажные работы хозяйственным способом (работы находятся в процессе выполнения, окончание примерно 15.10.20)</t>
  </si>
  <si>
    <t>Робототех.комплекс плазменной резки профилей 120iD на профилировке СМ00803 (1шт) бр.1441 (инв. номер 000001196)</t>
  </si>
  <si>
    <t xml:space="preserve">Установка для 2-х сторонней обжимки балки оси (1шт) бр.129 (инв. номер 000001190) </t>
  </si>
  <si>
    <t>Кран однобалочн.мостовой балка трубной конструкции г/п 10т - 22,5м (марка КБО 1-10-22,5 Б-0,03)(инв. номер 00001548)</t>
  </si>
  <si>
    <t>Кран-укосина поворотный на стойке 3,3 м 1т(инв. номер 00001749)</t>
  </si>
  <si>
    <t>Подъемник телескопический одноместный высота подъема 6м. GTWY6-100DC(инв. номер 00001703)</t>
  </si>
  <si>
    <t>Система ручной плазменной резки EX-TRAFIRE105 / резак с кабелем 8 м(инв. номер 00001702)</t>
  </si>
  <si>
    <t>Компрессор винтовой ЕКО18(инв. номер 00001620)</t>
  </si>
  <si>
    <t>Пылесос пневматический 115A для робота резки фанеры(инв. номер 00001609)</t>
  </si>
  <si>
    <t>Тележка д/снятия-установки колес груз.а/м ,г/п 700кг(инв. номер 00060395)</t>
  </si>
  <si>
    <t xml:space="preserve"> Комплект диагностического оборудования для проверки работы машин Тонар(инв. номер 00060450)</t>
  </si>
  <si>
    <t>Робототехнический комплекс для выдавливания листа FANUC 2000 СМ00700(инв. номер 00001536)</t>
  </si>
  <si>
    <t>Машина контактной сварки МШ-2203 вылет 400мм (инв. номер 00001509)</t>
  </si>
  <si>
    <t>Сварочный источник POWER WAVE S350 для алюминия(инв. номер 00001697)</t>
  </si>
  <si>
    <t>Станок для гибки труб  EL 90 HY г.в. 1975(инв. номер 00001653)</t>
  </si>
  <si>
    <t>Станок ленточнопильный MEBAswing 225G (инв. номер 00008071)</t>
  </si>
  <si>
    <t>Станок радиально-сверлильный 2М55 №1595(инв. номер 00001627)</t>
  </si>
  <si>
    <t>Покрасочно-сушильный комплекс № 1 (камера покраски грунтом, сушильная камера)(инв. номер 00001706)</t>
  </si>
  <si>
    <t>Покрасочно-сушильный комплекс № 2 (камера покраски краской, сушильная камера)(инв. номер 00001709)</t>
  </si>
  <si>
    <t>Покрасочно-сушильный комплекс № 3 (камера покраски краской, сушильная камера)(инв. номер 00001747)</t>
  </si>
  <si>
    <t>Дробеструйная камера(инв. номер 00001696)</t>
  </si>
  <si>
    <t>15.04.2019</t>
  </si>
  <si>
    <t>03.01.2020</t>
  </si>
  <si>
    <t>оборудование</t>
  </si>
  <si>
    <t>строительство подряд</t>
  </si>
  <si>
    <t>строительство хоз. Способ</t>
  </si>
  <si>
    <t>Итого оборудование</t>
  </si>
  <si>
    <t>Итого здания</t>
  </si>
  <si>
    <t>Всего</t>
  </si>
  <si>
    <t>№ пп</t>
  </si>
  <si>
    <t>Строительно-монтажные работы хозяйственным способом по МСЦ № 2
март 2014</t>
  </si>
  <si>
    <t>Строительно-монтажные работы хозяйственным способом по МСЦ № 2
апрель 2014</t>
  </si>
  <si>
    <t>Строительно-монтажные работы хозяйственным способом по МСЦ № 2
май 2014</t>
  </si>
  <si>
    <t>Строительно-монтажные работы хозяйственным способом по МСЦ № 2
июнь 2014</t>
  </si>
  <si>
    <t>Строительно-монтажные работы хозяйственным способом по МСЦ № 2
июль 2014</t>
  </si>
  <si>
    <t>Строительно-монтажные работы хозяйственным способом по МСЦ № 2
август 2014</t>
  </si>
  <si>
    <t>Строительно-монтажные работы хозяйственным способом по МСЦ № 2
сентябрь 2014</t>
  </si>
  <si>
    <t>Строительно-монтажные работы хозяйственным способом по МСЦ № 2
октябрь 2014</t>
  </si>
  <si>
    <t>Строительно-монтажные работы хозяйственным способом по МСЦ № 2
ноябрь 2014</t>
  </si>
  <si>
    <t>Строительно-монтажные работы хозяйственным способом по МСЦ № 2
декабрь 2014</t>
  </si>
  <si>
    <t>Строительно-монтажные работы хозяйственным способом по МСЦ № 2
январь 2015</t>
  </si>
  <si>
    <t>Строительно-монтажные работы хозяйственным способом по МСЦ № 2
    февраль 2015</t>
  </si>
  <si>
    <t>Строительно-монтажные работы хозяйственным способом по МСЦ № 2
март 2015</t>
  </si>
  <si>
    <t>Строительно-монтажные работы хозяйственным способом по МСЦ № 2
апрель 2015</t>
  </si>
  <si>
    <t>Строительно-монтажные работы хозяйственным способом по МСЦ № 2
май 2015</t>
  </si>
  <si>
    <t>Строительно-монтажные работы хозяйственным способом по МСЦ № 2
июнь 2015</t>
  </si>
  <si>
    <t>Строительно-монтажные работы хозяйственным способом по МСЦ № 2
июль 2015</t>
  </si>
  <si>
    <t>Строительно-монтажные работы хозяйственным способом по МСЦ № 2
август 2015</t>
  </si>
  <si>
    <t>Строительно-монтажные работы хозяйственным способом по МСЦ № 2
сентябрь 2015</t>
  </si>
  <si>
    <t>Строительно-монтажные работы хозяйственным способом по МСЦ № 2
октябрь 2015</t>
  </si>
  <si>
    <t>Строительно-монтажные работы хозяйственным способом по МСЦ № 2
ноябрь 2015</t>
  </si>
  <si>
    <t>Строительно-монтажные работы хозяйственным способом по МСЦ № 2
декабрь 2015</t>
  </si>
  <si>
    <t>Строительно-монтажные работы хозяйственным способом по МСЦ № 2
январь 2016</t>
  </si>
  <si>
    <t>Строительно-монтажные работы хозяйственным способом по МСЦ № 2
март 2016</t>
  </si>
  <si>
    <t>Строительно-монтажные работы хозяйственным способом по МСЦ № 2
апрель 2016</t>
  </si>
  <si>
    <t>Строительно-монтажные работы хозяйственным способом по МСЦ № 2
июль 2016</t>
  </si>
  <si>
    <t>Строительно-монтажные работы хозяйственным способом по МСЦ № 2
сентябрь 2016</t>
  </si>
  <si>
    <t>Строительно-монтажные работы хозяйственным способом по МСЦ № 2
октябрь 2016</t>
  </si>
  <si>
    <t>Строительно-монтажные работы хозяйственным способом по МСЦ № 2
ноябрь 2016</t>
  </si>
  <si>
    <t>Строительно-монтажные работы хозяйственным способом по МСЦ № 2
декабрь 2016</t>
  </si>
  <si>
    <t xml:space="preserve">хоз. способ строительно-монтажных работ Установка для 2-х сторонней обжимки балки оси (1шт) бр.129 (инв. номер 000001190) </t>
  </si>
  <si>
    <t>материалы на монтаж Кран однобалочн.мостовой балка трубной конструкции г/п 10т - 22,5м (марка КБО 1-10-22,5 Б-0,03)(инв. номер 00001548)</t>
  </si>
  <si>
    <t>материалы на монтаж Кран-укосина поворотный на стойке 3,3 м 1т(инв. номер 00001749)</t>
  </si>
  <si>
    <t>ООО "Термакат" Система ручной плазменной резки EX-TRAFIRE105 / резак с кабелем 8 м(инв. номер 00001702)</t>
  </si>
  <si>
    <t>материалы на монтаж Компрессор винтовой ЕКО18(инв. номер 00001620)</t>
  </si>
  <si>
    <t>ООО "Бамгрупп" Пылесос пневматический 115A для робота резки фанеры(инв. номер 00001609)</t>
  </si>
  <si>
    <t>EO-Stapler Германия Тележка д/снятия-установки колес груз.а/м ,г/п 700кг(инв. номер 00060395)</t>
  </si>
  <si>
    <t>Promat Германия  Комплект диагностического оборудования для проверки работы машин Тонар(инв. номер 00060450)</t>
  </si>
  <si>
    <t>материалы на монтаж Робототехнический комплекс для выдавливания листа FANUC 2000 СМ00700(инв. номер 00001536)</t>
  </si>
  <si>
    <t>материалы на монтаж Машина контактной сварки МШ-2203 вылет 400мм (инв. номер 00001509)</t>
  </si>
  <si>
    <t>ООО "Компания Вистек" Сварочный источник POWER WAVE S350 для алюминия(инв. номер 00001697)</t>
  </si>
  <si>
    <t>Erich mieth Станок для гибки труб  EL 90 HY г.в. 1975(инв. номер 00001653)</t>
  </si>
  <si>
    <t>ООО "Ви-менс современные технологии" Станок ленточнопильный MEBAswing 225G (инв. номер 00008071)</t>
  </si>
  <si>
    <t>материалы на монтаж Станок радиально-сверлильный 2М55 №1595(инв. номер 00001627)</t>
  </si>
  <si>
    <t>материалы на монтаж Покрасочно-сушильный комплекс № 1 (камера покраски грунтом, сушильная камера)(инв. номер 00001706)</t>
  </si>
  <si>
    <t>материалы на монтаж Покрасочно-сушильный комплекс № 2 (камера покраски краской, сушильная камера)(инв. номер 00001709)</t>
  </si>
  <si>
    <t>материалы на монтаж Покрасочно-сушильный комплекс № 3 (камера покраски краской, сушильная камера)(инв. номер 00001747)</t>
  </si>
  <si>
    <t>Выполнение инженерно-геодезических и инженерно-экологических изысканий безымянного ручья (первый приток р.Нерская) ООО "Геодриллинг"</t>
  </si>
  <si>
    <t>Договор №МСЗ-01/2014 от 01.07.14</t>
  </si>
  <si>
    <t>ДС 1 к 23-11-16ПМ</t>
  </si>
  <si>
    <t>25.01.2017</t>
  </si>
  <si>
    <t>23-10-17ПМ</t>
  </si>
  <si>
    <t>23.04.2017</t>
  </si>
  <si>
    <t xml:space="preserve">ДС 3 к 30-08-17ПМ
</t>
  </si>
  <si>
    <t>материалы на монтаж Вентиляционная установка над цехом МСЦ № 2 (инв. номер 00001711)</t>
  </si>
  <si>
    <t>матрериалы на монтаж Робототех.комплекс плазменной резки профилей 120iD на профилировке СМ00803 (1шт) бр.1441 (инв. номер 000001196)</t>
  </si>
  <si>
    <t>НЕПТУМАР ООО (доставка)</t>
  </si>
  <si>
    <t>ООО ЭДЕЛЬВЕЙС ТРАНСПОРТ (доставка)</t>
  </si>
  <si>
    <t>ООО ТельферКран (Кран однобалочн.мостовой балка трубной конструкции г/п 10т - 22,5м)</t>
  </si>
  <si>
    <t>Ralf teichmann Кран-укосина поворотный на стойке 3,3 м 1т</t>
  </si>
  <si>
    <t>ООО "Адванта-М" Подъемник телескопический одноместный высота подъема 6м. GTWY6-100DC</t>
  </si>
  <si>
    <t>ООО "Спецкомплект-М" Компрессор винтовой ЕКО18</t>
  </si>
  <si>
    <t>новоуткинский филиал "Искра" ООО "ФМК УЭХК" Машина контактной сварки МШ-2203 вылет 400мм</t>
  </si>
  <si>
    <t xml:space="preserve">ООО УРАЛЬСКАЯ СТАНКОПРОМЫШЛЕННАЯ КОМПАНИЯ 
(Камера окрасочная SPK-20.8.6 
Камера сушильная SPK-18.5.5)
</t>
  </si>
  <si>
    <t>материалы на монтаж Дробеструйная камера(инв. номер 00001696)</t>
  </si>
  <si>
    <t>материалы на монтаж Робототехнический комплекс нанесения ЛКП СМ00734 грунт (1шт) в покрасочные камеры(инв. номер 00001813);
  Манипулятор ФАНУК (2шт) для р.к. комплекса ЛКП (цвет)(инв. номер 00001047)</t>
  </si>
  <si>
    <t xml:space="preserve">Вентиляционная установка над цехом МСЦ № 2 (инв. номер 00001711) </t>
  </si>
  <si>
    <t>в т.ч. хоз. способ по оборудованию</t>
  </si>
  <si>
    <t>Робототехнический комплекс нанесения ЛКП СМ00734 грунт (1шт) в покрасочные камеры(инв. номер 00001813)+Манипулятор ФАНУК (2шт) для р.к. комплекса ЛКП (цвет)(инв. номер 00001047)</t>
  </si>
  <si>
    <t>04-0117</t>
  </si>
  <si>
    <t>17.01.2017</t>
  </si>
  <si>
    <t>50-1404-221-К-О</t>
  </si>
  <si>
    <t>25.04.2014</t>
  </si>
  <si>
    <t>50-1508-285-П-О</t>
  </si>
  <si>
    <t>28.08.2014</t>
  </si>
  <si>
    <t>ССМ-2016-1017</t>
  </si>
  <si>
    <t>383/16</t>
  </si>
  <si>
    <t>11.11.2016</t>
  </si>
  <si>
    <t>168/05</t>
  </si>
  <si>
    <t>14.03.2019</t>
  </si>
  <si>
    <t>461</t>
  </si>
  <si>
    <t>№13/07/20-КП</t>
  </si>
  <si>
    <t>13.07.2020</t>
  </si>
  <si>
    <t>342</t>
  </si>
  <si>
    <t>Вынос и закрепление осей здания очистных емкостей ливневой канализации, закрепление высотных реперов ООО "СТРОЙСПЕЦМОНТАЖ"</t>
  </si>
  <si>
    <t>ДС№6  к дог.ССМ-2020-02/05</t>
  </si>
  <si>
    <t>34</t>
  </si>
  <si>
    <t>Изготовление техплана на объект недвижимого имущества (земельные участки под очистными сооружениями ливневка) ООО "Геокадастр"</t>
  </si>
  <si>
    <t>ДС№3  к дог.ССМ-2020-02/05</t>
  </si>
  <si>
    <t>ДС№4  к дог.ССМ-2020-02/05</t>
  </si>
  <si>
    <t xml:space="preserve"> 06.04.2020г.</t>
  </si>
  <si>
    <t xml:space="preserve"> 18.05.2020г.</t>
  </si>
  <si>
    <t>хоз. способ</t>
  </si>
  <si>
    <t>28.02.2014 г.</t>
  </si>
  <si>
    <t>КС-2 № 24</t>
  </si>
  <si>
    <t>КС-2 № 25</t>
  </si>
  <si>
    <t>31.03.2014 г.</t>
  </si>
  <si>
    <t>КС-2 № 26</t>
  </si>
  <si>
    <t>30.04.2014 г.</t>
  </si>
  <si>
    <t>КС-2 № 27</t>
  </si>
  <si>
    <t>31.05.2014 г.</t>
  </si>
  <si>
    <t>КС-2 № 28</t>
  </si>
  <si>
    <t>30.06.2014 г.</t>
  </si>
  <si>
    <t>КС-2 № 29</t>
  </si>
  <si>
    <t>31.07.2014 г.</t>
  </si>
  <si>
    <t>КС-2 № 30</t>
  </si>
  <si>
    <t>31.08.2014 г.</t>
  </si>
  <si>
    <t>КС-2 № 31</t>
  </si>
  <si>
    <t>30.09.2014 г.</t>
  </si>
  <si>
    <t>КС-2 № 32</t>
  </si>
  <si>
    <t>31.10.2014 г.</t>
  </si>
  <si>
    <t>КС-2 № 33</t>
  </si>
  <si>
    <t>30.11.2014 г.</t>
  </si>
  <si>
    <t>КС-2 № 34</t>
  </si>
  <si>
    <t>31.12.2014 г.</t>
  </si>
  <si>
    <t>КС-2 № 35</t>
  </si>
  <si>
    <t>31.01.2015 г.</t>
  </si>
  <si>
    <t>КС-2 № 36</t>
  </si>
  <si>
    <t>29.02.2015 г.</t>
  </si>
  <si>
    <t>КС-2 № 37</t>
  </si>
  <si>
    <t>31.03.2015 г.</t>
  </si>
  <si>
    <t>КС-2 № 38</t>
  </si>
  <si>
    <t>30.04.2015 г.</t>
  </si>
  <si>
    <t>КС-2 № 39</t>
  </si>
  <si>
    <t>31.05.2015 г.</t>
  </si>
  <si>
    <t>КС-2 № 40</t>
  </si>
  <si>
    <t>30.06.2015 г.</t>
  </si>
  <si>
    <t>КС-2 № 41</t>
  </si>
  <si>
    <t>31.07.2015 г.</t>
  </si>
  <si>
    <t>КС-2 № 42</t>
  </si>
  <si>
    <t>31.08.2015 г.</t>
  </si>
  <si>
    <t>КС-2 № 43</t>
  </si>
  <si>
    <t>30.09.2015 г.</t>
  </si>
  <si>
    <t>КС-2 № 44</t>
  </si>
  <si>
    <t>31.10.2015 г.</t>
  </si>
  <si>
    <t>КС-2 № 45</t>
  </si>
  <si>
    <t>31.11.2015 г.</t>
  </si>
  <si>
    <t>КС-2 № 46</t>
  </si>
  <si>
    <t>31.12.2015 г.</t>
  </si>
  <si>
    <t>КС-2 № 47</t>
  </si>
  <si>
    <t>31.01.2016 г.</t>
  </si>
  <si>
    <t>КС-2 № 48</t>
  </si>
  <si>
    <t>КС-2 № 49</t>
  </si>
  <si>
    <t>КС-2 № 50</t>
  </si>
  <si>
    <t>КС-2 № 51</t>
  </si>
  <si>
    <t>КС-2 № 52</t>
  </si>
  <si>
    <t>КС-2 № 53</t>
  </si>
  <si>
    <t>КС-2 № 54</t>
  </si>
  <si>
    <t>КС-2 № 55</t>
  </si>
  <si>
    <t>29.02.2016 г.</t>
  </si>
  <si>
    <t>31.03.2016 г.</t>
  </si>
  <si>
    <t>30.04.2016 г.</t>
  </si>
  <si>
    <t>31.07.2016 г.</t>
  </si>
  <si>
    <t>31.09.2016 г.</t>
  </si>
  <si>
    <t>31.10.2016 г.</t>
  </si>
  <si>
    <t>31.11.2016 г.</t>
  </si>
  <si>
    <t>31.12.2016 г.</t>
  </si>
  <si>
    <t>2</t>
  </si>
  <si>
    <t xml:space="preserve">12/07/19-У и ДС1 </t>
  </si>
  <si>
    <t>внесение изменений в проектную документацию (стадия П.раздел6.ПОС шифр 18/02/19-204-ПОС) ООО "СБМ-Групп"</t>
  </si>
  <si>
    <t>КС-2 №</t>
  </si>
  <si>
    <t>4.08</t>
  </si>
  <si>
    <t>4.01.</t>
  </si>
  <si>
    <t>4.02</t>
  </si>
  <si>
    <t>4.03</t>
  </si>
  <si>
    <t>4.11</t>
  </si>
  <si>
    <t>4.05</t>
  </si>
  <si>
    <t>4.07</t>
  </si>
  <si>
    <t>4.06</t>
  </si>
  <si>
    <t>4.09</t>
  </si>
  <si>
    <t>4.12</t>
  </si>
  <si>
    <t>4.10</t>
  </si>
  <si>
    <t>4.04</t>
  </si>
  <si>
    <t>4.13</t>
  </si>
  <si>
    <t>3.01.</t>
  </si>
  <si>
    <t>3.02.</t>
  </si>
  <si>
    <t>3.03.</t>
  </si>
  <si>
    <t>3.04.</t>
  </si>
  <si>
    <t>3.05.</t>
  </si>
  <si>
    <t>3.06.</t>
  </si>
  <si>
    <t>3.07.</t>
  </si>
  <si>
    <t>3.08.</t>
  </si>
  <si>
    <t>3.09.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</si>
  <si>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</si>
  <si>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</si>
  <si>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</si>
  <si>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</si>
  <si>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</si>
  <si>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</si>
  <si>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</si>
  <si>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</si>
  <si>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</si>
  <si>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</si>
  <si>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</si>
  <si>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</si>
  <si>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</si>
  <si>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</si>
  <si>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на  составление сводной ведомости объемов работ с ООО "СБМ-Групп"</t>
  </si>
  <si>
    <t>3.24.</t>
  </si>
  <si>
    <t>3.25.</t>
  </si>
  <si>
    <t>3.26.</t>
  </si>
  <si>
    <t>3.27.</t>
  </si>
  <si>
    <t>3.28.</t>
  </si>
  <si>
    <t>3.29.</t>
  </si>
  <si>
    <t>3.30.</t>
  </si>
  <si>
    <t>3.31.</t>
  </si>
  <si>
    <t>3.32.</t>
  </si>
  <si>
    <t>3.33.</t>
  </si>
  <si>
    <t>3.34.</t>
  </si>
  <si>
    <t>3.35.</t>
  </si>
  <si>
    <t>3.36.</t>
  </si>
  <si>
    <t>3.37.</t>
  </si>
  <si>
    <t>3.38.</t>
  </si>
  <si>
    <t>3.39.</t>
  </si>
  <si>
    <t>3.40.</t>
  </si>
  <si>
    <t>3.41.</t>
  </si>
  <si>
    <t>3.42.</t>
  </si>
  <si>
    <t>3.43.</t>
  </si>
  <si>
    <t>3.44.</t>
  </si>
  <si>
    <t>3.45.</t>
  </si>
  <si>
    <t>3.46.</t>
  </si>
  <si>
    <t>3.47.</t>
  </si>
  <si>
    <t>3.48.</t>
  </si>
  <si>
    <t>3.49.</t>
  </si>
  <si>
    <t>3.50.</t>
  </si>
  <si>
    <t>3.51.</t>
  </si>
  <si>
    <t>3.52.</t>
  </si>
  <si>
    <t>3.53.</t>
  </si>
  <si>
    <t>3.54.</t>
  </si>
  <si>
    <t>3.55.</t>
  </si>
  <si>
    <t>3.56.</t>
  </si>
  <si>
    <t>3.57.</t>
  </si>
  <si>
    <t>3.58.</t>
  </si>
  <si>
    <t>3.59.</t>
  </si>
  <si>
    <t>3.60.</t>
  </si>
  <si>
    <t>3.61.</t>
  </si>
  <si>
    <t>3.62.</t>
  </si>
  <si>
    <t>3.63.</t>
  </si>
  <si>
    <t>3.64.</t>
  </si>
  <si>
    <t>3.65.</t>
  </si>
  <si>
    <t xml:space="preserve"> ООО "Проектная мастерская "Престиж"
Разработка проектной и рабочей документации строительства новых производственных площадей</t>
  </si>
  <si>
    <t xml:space="preserve"> ООО "Проектная мастерская "Престиж"
Расчет нагрузки на фермы вентиляция</t>
  </si>
  <si>
    <t xml:space="preserve"> ООО "Проектная мастерская "Престиж"
Изготовление и корректировка проектов вентиляции</t>
  </si>
  <si>
    <t xml:space="preserve"> ООО "Проектная мастерская "Престиж"
Проект усиления ферм на кровле цеха</t>
  </si>
  <si>
    <t xml:space="preserve"> ООО "Проектная мастерская "Престиж"
корректировка проектной документации</t>
  </si>
  <si>
    <t>ООО "Проектная мастерская "Престиж" 
(Категории взрывопожарной опасности)</t>
  </si>
  <si>
    <t>ООО "ГЕОКАДАСТР"
 (изготовление технического плана на объект недвижимого имущества на бумажном носителе)</t>
  </si>
  <si>
    <t>ООО "ГЕОКАДАСТР"
 (изготовление технического плана на объект недвижимого имущества в виде электронного документа)</t>
  </si>
  <si>
    <t>ООО "ГЕОКАДАСТР"
 (изготовление технического плана на объект недвижимого имущества для постановки на кадастровый учет)</t>
  </si>
  <si>
    <t>ООО "Эталон Строй"
 (работы по монтажу системы пожарной сигнализации)</t>
  </si>
  <si>
    <t>ООО "Эталон Строй"
 (работы по дооборудованию системы пожарной сигнализации)</t>
  </si>
  <si>
    <t>ООО "СТРОИТЕЛЬНАЯ ЭКСПЕРТИЗА"
 (услуги по проведению негосударственной экспертизы)</t>
  </si>
  <si>
    <t>ООО "СТРОИТЕЛЬНАЯ ЭКСПЕРТИЗА"
 (услуги по проведению негосударственной экспертизы-корректировка)</t>
  </si>
  <si>
    <t>ООО "СК БОГАТЫРЬ"
(погружение свай 24 шт., перебазировка техники на объект)</t>
  </si>
  <si>
    <t>ООО "СТРОЙКОМ"
 (испытания ж/б свай с заключением лаборатории)</t>
  </si>
  <si>
    <t>ООО ПКФ "Электрон"
 (электромонтажные работы)</t>
  </si>
  <si>
    <t>ООО ПКФ "Электрон" 
(электроснабжение дымоудаления цеха и уравнивание потенциалов;электроснабжение вентиляторов дымоудаления)</t>
  </si>
  <si>
    <t>ООО "Медиса" 
(аренда затирочной машины)</t>
  </si>
  <si>
    <t>ООО СК "Орбита" 
(страхование)</t>
  </si>
  <si>
    <t>ООО "ЭкспертПроект"
 (Разработка специальных технических условий на проектирование и строительство в части обеспечения пожарной безопасности и согласование данных специальных технических условий в МЧС)</t>
  </si>
  <si>
    <t>ООО СК "Сбербанк Страхование"
 (страхование кредита)</t>
  </si>
  <si>
    <t>ООО "СтройСпецМонтаж"
 (топографическая съемка)</t>
  </si>
  <si>
    <t>ГУП  МО "МОСОБЛСТРОЙЦНИЛ"
 (работы по теплотехническому обследованию, тепловизионному контролю качества тепловой защиты ограждающих конструкций)</t>
  </si>
  <si>
    <t>ООО "ПромСтройПол" 
(работы по устройству бетонных полов)</t>
  </si>
  <si>
    <t>Строительно-монтажные работы хозяйственным способом по МСЦ № 2
февраль 2014</t>
  </si>
  <si>
    <t>Строительно-монтажные работы хозяйственным способом по МСЦ № 2
февраль 2016</t>
  </si>
  <si>
    <t>Затраты на закупку производственного оборудования, в т.ч.:</t>
  </si>
  <si>
    <t>Платежи по договору возвратного лизинга объекта капитального строительства, в т.ч.:</t>
  </si>
  <si>
    <t>5</t>
  </si>
  <si>
    <t>Затраты на приобретение и реконструкцию объекта капитального строительства с целью создания промышленного производства, в т.ч.:</t>
  </si>
  <si>
    <t>Затраты на строительство (реконструкцию) объекта капитального строительства, связанные с увеличением производственных мощностей, в т.ч.:</t>
  </si>
  <si>
    <t>Затраты участника Отбора на газоснабжение и газораспределение объекта капитального строительства, в т.ч.:</t>
  </si>
  <si>
    <t>Затраты участника Отбора на электроснабжение объекта капитального строительства, в т.ч.:</t>
  </si>
  <si>
    <t>Затраты участника Отбора на водоснабжение, водоотведение и канализование объекта капитального строительства, в т.ч.:</t>
  </si>
  <si>
    <t>Затраты участника Отбора на теплоснабжение объекта капитального строительства, в т.ч.:</t>
  </si>
  <si>
    <t>Затраты участника Отбора, связанные со строительством и (или) реконструкцией (в том числе модернизацией) локальных очистных сооружений, подключением и (или) присоединением к локальным очистным сооружениям, предназначенных для функционирования объекта капитального строительства, в т.ч.:</t>
  </si>
  <si>
    <t>Затраты, связанные со строительством и (или) реконструкцией объектов транспортной инфраструктуры, подключением и (или) присоединением к транспортным сетям, предназначенных для функционирования объекта капитального строительства, в т.ч.:</t>
  </si>
  <si>
    <t>Затраты, на инженерные изыскания, проектную документацию (включая разработку проектной документации, экспертизу, авторский надзор за строительством) технологическое оборудование и создание водозаборных сооружений, в т.ч.:</t>
  </si>
  <si>
    <t>Размер субсидии рассчитывается по формуле: ("Итого" графы 17 (Таблица 1) + "Итого" графы 17 (Таблица 2)) x 20 процентов.</t>
  </si>
  <si>
    <t xml:space="preserve">Приложение 4
к заявлению на предоставление субсидий из бюджета 
Московской области юридическим лицам
в целях возмещения части затрат
на создание объектов инженерной и транспортной инфраструктуры
 для новых промышленных предприятий и (или) для увеличивших
 производственные мощности существующих промышленных
 предприятий на территории Московской области
</t>
  </si>
  <si>
    <r>
      <t xml:space="preserve">
РАСЧЕТ
размера субсидии из бюджета Московской области юридическим лицам в целях возмещения части затрат на создание объектов инженерной
 и транспортной инфраструктуры для новых промышленных предприятий и (или) для увеличивших производственные мощности существующих промышленных предприятий на территории Московской области</t>
    </r>
    <r>
      <rPr>
        <sz val="12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
 ______________________________________________________________________________________________
(полное наименование юридического лица)
</t>
    </r>
  </si>
  <si>
    <t>2. Затраты на создание объектов инженерной и транспортной инфраструктуры для новых промышленных предприятий и (или) для увеличивших производственные мощности существующих промышленных предприятий на территории Московской области:</t>
  </si>
  <si>
    <t>1.Расчет общего объема инвестиций на строительство нового промышленного предприятия и (или) увеличение производственных мощностей существующего промышленного предприятия:</t>
  </si>
  <si>
    <t>8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</si>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</sst>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  <numFmt numFmtId="166" formatCode="[$-419]mmmm\ yyyy;@"/>
    <numFmt numFmtId="167" formatCode="_-* #,##0.0_-;\-* #,##0.0_-;_-* &quot;-&quot;??_-;_-@_-"/>
    <numFmt numFmtId="168" formatCode="0.000;[Red]\-0.000"/>
    <numFmt numFmtId="169" formatCode="0.00;[Red]\-0.00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i/>
      <sz val="8"/>
      <name val="Arial"/>
      <family val="2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164" fontId="15" fillId="0" borderId="0" applyFont="0" applyFill="0" applyBorder="0" applyAlignment="0" applyProtection="0"/>
    <xf numFmtId="0" fontId="17" fillId="0" borderId="0"/>
    <xf numFmtId="0" fontId="17" fillId="0" borderId="0"/>
  </cellStyleXfs>
  <cellXfs count="5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4" fontId="8" fillId="0" borderId="2" xfId="0" applyNumberFormat="1" applyFont="1" applyBorder="1" applyAlignment="1">
      <alignment vertical="center" wrapText="1"/>
    </xf>
    <xf numFmtId="0" fontId="7" fillId="0" borderId="0" xfId="0" applyFont="1"/>
    <xf numFmtId="4" fontId="3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 wrapText="1"/>
    </xf>
    <xf numFmtId="4" fontId="9" fillId="2" borderId="2" xfId="0" applyNumberFormat="1" applyFont="1" applyFill="1" applyBorder="1" applyAlignment="1">
      <alignment horizontal="center" wrapText="1"/>
    </xf>
    <xf numFmtId="14" fontId="9" fillId="2" borderId="2" xfId="0" applyNumberFormat="1" applyFont="1" applyFill="1" applyBorder="1" applyAlignment="1">
      <alignment horizontal="center" wrapText="1"/>
    </xf>
    <xf numFmtId="4" fontId="0" fillId="2" borderId="2" xfId="0" applyNumberFormat="1" applyFill="1" applyBorder="1" applyAlignment="1">
      <alignment horizontal="center"/>
    </xf>
    <xf numFmtId="4" fontId="9" fillId="2" borderId="2" xfId="0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4" fontId="0" fillId="2" borderId="2" xfId="0" applyNumberFormat="1" applyFill="1" applyBorder="1"/>
    <xf numFmtId="0" fontId="1" fillId="2" borderId="0" xfId="0" applyFont="1" applyFill="1" applyAlignment="1">
      <alignment horizontal="center"/>
    </xf>
    <xf numFmtId="0" fontId="10" fillId="2" borderId="0" xfId="0" applyFont="1" applyFill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2" borderId="2" xfId="0" applyFill="1" applyBorder="1"/>
    <xf numFmtId="0" fontId="9" fillId="2" borderId="2" xfId="0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right" wrapText="1"/>
    </xf>
    <xf numFmtId="49" fontId="14" fillId="2" borderId="2" xfId="1" applyNumberFormat="1" applyFont="1" applyFill="1" applyBorder="1" applyAlignment="1">
      <alignment horizontal="center" vertical="center"/>
    </xf>
    <xf numFmtId="14" fontId="14" fillId="2" borderId="2" xfId="1" applyNumberFormat="1" applyFont="1" applyFill="1" applyBorder="1" applyAlignment="1">
      <alignment horizontal="right"/>
    </xf>
    <xf numFmtId="4" fontId="9" fillId="2" borderId="2" xfId="0" applyNumberFormat="1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right" wrapText="1"/>
    </xf>
    <xf numFmtId="14" fontId="9" fillId="2" borderId="2" xfId="0" applyNumberFormat="1" applyFont="1" applyFill="1" applyBorder="1" applyAlignment="1">
      <alignment horizontal="right" wrapText="1"/>
    </xf>
    <xf numFmtId="4" fontId="0" fillId="2" borderId="2" xfId="0" applyNumberForma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right" vertical="center" wrapText="1"/>
    </xf>
    <xf numFmtId="14" fontId="9" fillId="2" borderId="2" xfId="0" applyNumberFormat="1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4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14" fontId="14" fillId="2" borderId="2" xfId="1" applyNumberFormat="1" applyFont="1" applyFill="1" applyBorder="1" applyAlignment="1">
      <alignment horizontal="right" vertical="top"/>
    </xf>
    <xf numFmtId="14" fontId="9" fillId="2" borderId="2" xfId="0" applyNumberFormat="1" applyFont="1" applyFill="1" applyBorder="1" applyAlignment="1">
      <alignment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right"/>
    </xf>
    <xf numFmtId="49" fontId="9" fillId="2" borderId="2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/>
    </xf>
    <xf numFmtId="49" fontId="9" fillId="2" borderId="0" xfId="0" applyNumberFormat="1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3" borderId="2" xfId="0" applyFont="1" applyFill="1" applyBorder="1" applyAlignment="1">
      <alignment horizontal="center" wrapText="1"/>
    </xf>
    <xf numFmtId="4" fontId="9" fillId="3" borderId="2" xfId="0" applyNumberFormat="1" applyFont="1" applyFill="1" applyBorder="1" applyAlignment="1">
      <alignment horizontal="center" wrapText="1"/>
    </xf>
    <xf numFmtId="4" fontId="9" fillId="3" borderId="2" xfId="0" applyNumberFormat="1" applyFont="1" applyFill="1" applyBorder="1" applyAlignment="1">
      <alignment vertical="center" wrapText="1"/>
    </xf>
    <xf numFmtId="49" fontId="9" fillId="3" borderId="0" xfId="0" applyNumberFormat="1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4" fontId="9" fillId="4" borderId="2" xfId="0" applyNumberFormat="1" applyFont="1" applyFill="1" applyBorder="1" applyAlignment="1">
      <alignment horizontal="right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4" fontId="9" fillId="5" borderId="2" xfId="0" applyNumberFormat="1" applyFont="1" applyFill="1" applyBorder="1" applyAlignment="1">
      <alignment horizontal="right" wrapText="1"/>
    </xf>
    <xf numFmtId="14" fontId="9" fillId="5" borderId="2" xfId="0" applyNumberFormat="1" applyFont="1" applyFill="1" applyBorder="1" applyAlignment="1">
      <alignment vertical="center" wrapText="1"/>
    </xf>
    <xf numFmtId="4" fontId="9" fillId="5" borderId="2" xfId="0" applyNumberFormat="1" applyFont="1" applyFill="1" applyBorder="1" applyAlignment="1">
      <alignment vertical="center" wrapText="1"/>
    </xf>
    <xf numFmtId="49" fontId="14" fillId="5" borderId="2" xfId="1" applyNumberFormat="1" applyFont="1" applyFill="1" applyBorder="1" applyAlignment="1">
      <alignment horizontal="center" vertical="center"/>
    </xf>
    <xf numFmtId="14" fontId="14" fillId="5" borderId="2" xfId="1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49" fontId="14" fillId="4" borderId="2" xfId="1" applyNumberFormat="1" applyFont="1" applyFill="1" applyBorder="1" applyAlignment="1">
      <alignment horizontal="center" vertical="center"/>
    </xf>
    <xf numFmtId="14" fontId="14" fillId="4" borderId="2" xfId="1" applyNumberFormat="1" applyFont="1" applyFill="1" applyBorder="1" applyAlignment="1">
      <alignment horizontal="right"/>
    </xf>
    <xf numFmtId="4" fontId="9" fillId="4" borderId="2" xfId="0" applyNumberFormat="1" applyFont="1" applyFill="1" applyBorder="1" applyAlignment="1">
      <alignment vertical="center" wrapText="1"/>
    </xf>
    <xf numFmtId="14" fontId="9" fillId="4" borderId="2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horizontal="left" vertical="center" wrapText="1"/>
    </xf>
    <xf numFmtId="3" fontId="9" fillId="4" borderId="2" xfId="0" applyNumberFormat="1" applyFont="1" applyFill="1" applyBorder="1" applyAlignment="1">
      <alignment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right" vertical="center" wrapText="1"/>
    </xf>
    <xf numFmtId="4" fontId="9" fillId="4" borderId="2" xfId="0" applyNumberFormat="1" applyFont="1" applyFill="1" applyBorder="1" applyAlignment="1">
      <alignment horizontal="right" vertical="center" wrapText="1"/>
    </xf>
    <xf numFmtId="49" fontId="14" fillId="3" borderId="2" xfId="1" applyNumberFormat="1" applyFont="1" applyFill="1" applyBorder="1" applyAlignment="1">
      <alignment horizontal="center" vertical="center"/>
    </xf>
    <xf numFmtId="14" fontId="14" fillId="3" borderId="2" xfId="1" applyNumberFormat="1" applyFont="1" applyFill="1" applyBorder="1" applyAlignment="1">
      <alignment horizontal="right"/>
    </xf>
    <xf numFmtId="0" fontId="0" fillId="3" borderId="2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49" fontId="9" fillId="5" borderId="2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vertical="center" wrapText="1"/>
    </xf>
    <xf numFmtId="49" fontId="14" fillId="6" borderId="2" xfId="1" applyNumberFormat="1" applyFont="1" applyFill="1" applyBorder="1" applyAlignment="1">
      <alignment horizontal="center" vertical="center"/>
    </xf>
    <xf numFmtId="14" fontId="14" fillId="6" borderId="2" xfId="1" applyNumberFormat="1" applyFont="1" applyFill="1" applyBorder="1" applyAlignment="1">
      <alignment horizontal="right"/>
    </xf>
    <xf numFmtId="4" fontId="9" fillId="6" borderId="2" xfId="0" applyNumberFormat="1" applyFont="1" applyFill="1" applyBorder="1" applyAlignment="1">
      <alignment horizontal="right" wrapText="1"/>
    </xf>
    <xf numFmtId="0" fontId="0" fillId="6" borderId="2" xfId="0" applyFill="1" applyBorder="1"/>
    <xf numFmtId="0" fontId="0" fillId="6" borderId="0" xfId="0" applyFill="1"/>
    <xf numFmtId="0" fontId="3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49" fontId="9" fillId="5" borderId="3" xfId="0" applyNumberFormat="1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vertical="center" wrapText="1"/>
    </xf>
    <xf numFmtId="0" fontId="10" fillId="6" borderId="0" xfId="0" applyFont="1" applyFill="1"/>
    <xf numFmtId="0" fontId="10" fillId="0" borderId="0" xfId="0" applyFont="1" applyAlignment="1">
      <alignment horizontal="left"/>
    </xf>
    <xf numFmtId="164" fontId="9" fillId="2" borderId="3" xfId="2" applyFont="1" applyFill="1" applyBorder="1" applyAlignment="1">
      <alignment vertical="center" wrapText="1"/>
    </xf>
    <xf numFmtId="43" fontId="0" fillId="0" borderId="0" xfId="0" applyNumberFormat="1"/>
    <xf numFmtId="4" fontId="0" fillId="0" borderId="0" xfId="0" applyNumberFormat="1"/>
    <xf numFmtId="4" fontId="9" fillId="2" borderId="3" xfId="0" applyNumberFormat="1" applyFont="1" applyFill="1" applyBorder="1" applyAlignment="1">
      <alignment vertical="center" wrapText="1"/>
    </xf>
    <xf numFmtId="4" fontId="0" fillId="2" borderId="0" xfId="0" applyNumberFormat="1" applyFill="1"/>
    <xf numFmtId="164" fontId="9" fillId="2" borderId="4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67" fontId="0" fillId="0" borderId="2" xfId="2" applyNumberFormat="1" applyFont="1" applyBorder="1" applyAlignment="1">
      <alignment wrapText="1"/>
    </xf>
    <xf numFmtId="4" fontId="0" fillId="2" borderId="2" xfId="0" applyNumberFormat="1" applyFill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2" applyFont="1" applyBorder="1" applyAlignment="1">
      <alignment wrapText="1"/>
    </xf>
    <xf numFmtId="43" fontId="0" fillId="0" borderId="2" xfId="0" applyNumberFormat="1" applyBorder="1" applyAlignment="1">
      <alignment wrapText="1"/>
    </xf>
    <xf numFmtId="0" fontId="16" fillId="0" borderId="2" xfId="0" applyFont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0" fontId="16" fillId="0" borderId="0" xfId="0" applyFont="1"/>
    <xf numFmtId="0" fontId="17" fillId="0" borderId="0" xfId="4"/>
    <xf numFmtId="0" fontId="17" fillId="0" borderId="7" xfId="4" applyBorder="1" applyAlignment="1">
      <alignment horizontal="left"/>
    </xf>
    <xf numFmtId="4" fontId="17" fillId="0" borderId="2" xfId="4" applyNumberFormat="1" applyBorder="1" applyAlignment="1">
      <alignment horizontal="right"/>
    </xf>
    <xf numFmtId="0" fontId="17" fillId="0" borderId="8" xfId="4" applyBorder="1" applyAlignment="1">
      <alignment horizontal="left"/>
    </xf>
    <xf numFmtId="4" fontId="0" fillId="0" borderId="0" xfId="0" applyNumberFormat="1" applyAlignment="1">
      <alignment wrapText="1"/>
    </xf>
    <xf numFmtId="0" fontId="17" fillId="0" borderId="6" xfId="4" applyBorder="1"/>
    <xf numFmtId="0" fontId="17" fillId="0" borderId="7" xfId="4" applyBorder="1"/>
    <xf numFmtId="0" fontId="17" fillId="0" borderId="8" xfId="4" applyBorder="1"/>
    <xf numFmtId="4" fontId="20" fillId="0" borderId="2" xfId="4" applyNumberFormat="1" applyFont="1" applyBorder="1" applyAlignment="1">
      <alignment horizontal="right"/>
    </xf>
    <xf numFmtId="0" fontId="20" fillId="0" borderId="6" xfId="4" applyFont="1" applyBorder="1"/>
    <xf numFmtId="0" fontId="20" fillId="0" borderId="7" xfId="4" applyFont="1" applyBorder="1"/>
    <xf numFmtId="0" fontId="20" fillId="0" borderId="8" xfId="4" applyFont="1" applyBorder="1"/>
    <xf numFmtId="4" fontId="17" fillId="0" borderId="0" xfId="4" applyNumberFormat="1" applyAlignment="1">
      <alignment horizontal="right"/>
    </xf>
    <xf numFmtId="0" fontId="18" fillId="0" borderId="0" xfId="3" applyFont="1" applyAlignment="1">
      <alignment horizontal="left" wrapText="1" indent="1"/>
    </xf>
    <xf numFmtId="4" fontId="9" fillId="2" borderId="5" xfId="0" applyNumberFormat="1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164" fontId="9" fillId="2" borderId="5" xfId="2" applyFont="1" applyFill="1" applyBorder="1" applyAlignment="1">
      <alignment vertical="center" wrapText="1"/>
    </xf>
    <xf numFmtId="0" fontId="18" fillId="0" borderId="11" xfId="3" applyFont="1" applyBorder="1" applyAlignment="1">
      <alignment horizontal="left" wrapText="1" indent="1"/>
    </xf>
    <xf numFmtId="0" fontId="18" fillId="0" borderId="0" xfId="4" applyFont="1" applyAlignment="1">
      <alignment horizontal="left"/>
    </xf>
    <xf numFmtId="0" fontId="21" fillId="0" borderId="10" xfId="4" applyFont="1" applyBorder="1" applyAlignment="1">
      <alignment horizontal="center" vertical="top"/>
    </xf>
    <xf numFmtId="0" fontId="21" fillId="0" borderId="10" xfId="4" applyFont="1" applyBorder="1" applyAlignment="1">
      <alignment horizontal="center" vertical="top" wrapText="1"/>
    </xf>
    <xf numFmtId="0" fontId="17" fillId="0" borderId="3" xfId="4" applyBorder="1" applyAlignment="1">
      <alignment horizontal="left" vertical="top" wrapText="1"/>
    </xf>
    <xf numFmtId="40" fontId="17" fillId="0" borderId="3" xfId="4" applyNumberFormat="1" applyBorder="1" applyAlignment="1">
      <alignment horizontal="right" vertical="top"/>
    </xf>
    <xf numFmtId="0" fontId="17" fillId="0" borderId="13" xfId="4" applyBorder="1" applyAlignment="1">
      <alignment horizontal="left" vertical="top" wrapText="1"/>
    </xf>
    <xf numFmtId="0" fontId="17" fillId="0" borderId="3" xfId="4" applyBorder="1" applyAlignment="1">
      <alignment horizontal="left" vertical="top"/>
    </xf>
    <xf numFmtId="0" fontId="17" fillId="0" borderId="5" xfId="4" applyBorder="1" applyAlignment="1">
      <alignment horizontal="left"/>
    </xf>
    <xf numFmtId="0" fontId="17" fillId="0" borderId="14" xfId="4" applyBorder="1" applyAlignment="1">
      <alignment horizontal="left"/>
    </xf>
    <xf numFmtId="168" fontId="17" fillId="0" borderId="15" xfId="4" applyNumberFormat="1" applyBorder="1" applyAlignment="1">
      <alignment horizontal="right"/>
    </xf>
    <xf numFmtId="0" fontId="17" fillId="0" borderId="15" xfId="4" applyBorder="1" applyAlignment="1">
      <alignment horizontal="right"/>
    </xf>
    <xf numFmtId="0" fontId="17" fillId="0" borderId="5" xfId="4" applyBorder="1" applyAlignment="1">
      <alignment horizontal="left" vertical="top"/>
    </xf>
    <xf numFmtId="0" fontId="17" fillId="0" borderId="16" xfId="4" applyBorder="1" applyAlignment="1">
      <alignment horizontal="left" vertical="top" wrapText="1"/>
    </xf>
    <xf numFmtId="0" fontId="17" fillId="0" borderId="4" xfId="4" applyBorder="1" applyAlignment="1">
      <alignment horizontal="left"/>
    </xf>
    <xf numFmtId="0" fontId="17" fillId="0" borderId="17" xfId="4" applyBorder="1" applyAlignment="1">
      <alignment horizontal="left"/>
    </xf>
    <xf numFmtId="0" fontId="17" fillId="0" borderId="18" xfId="4" applyBorder="1" applyAlignment="1">
      <alignment horizontal="right"/>
    </xf>
    <xf numFmtId="40" fontId="17" fillId="0" borderId="18" xfId="4" applyNumberFormat="1" applyBorder="1" applyAlignment="1">
      <alignment horizontal="right"/>
    </xf>
    <xf numFmtId="0" fontId="17" fillId="0" borderId="4" xfId="4" applyBorder="1" applyAlignment="1">
      <alignment horizontal="left" vertical="top"/>
    </xf>
    <xf numFmtId="0" fontId="17" fillId="0" borderId="4" xfId="4" applyBorder="1" applyAlignment="1">
      <alignment horizontal="left" vertical="top" wrapText="1"/>
    </xf>
    <xf numFmtId="169" fontId="17" fillId="0" borderId="18" xfId="4" applyNumberFormat="1" applyBorder="1" applyAlignment="1">
      <alignment horizontal="right"/>
    </xf>
    <xf numFmtId="169" fontId="17" fillId="0" borderId="3" xfId="4" applyNumberFormat="1" applyBorder="1" applyAlignment="1">
      <alignment horizontal="right" vertical="top"/>
    </xf>
    <xf numFmtId="0" fontId="17" fillId="0" borderId="6" xfId="4" applyBorder="1" applyAlignment="1">
      <alignment horizontal="left"/>
    </xf>
    <xf numFmtId="0" fontId="17" fillId="0" borderId="19" xfId="4" applyBorder="1" applyAlignment="1">
      <alignment horizontal="left"/>
    </xf>
    <xf numFmtId="0" fontId="17" fillId="0" borderId="20" xfId="4" applyBorder="1" applyAlignment="1">
      <alignment horizontal="left"/>
    </xf>
    <xf numFmtId="40" fontId="17" fillId="0" borderId="2" xfId="4" applyNumberFormat="1" applyBorder="1" applyAlignment="1">
      <alignment horizontal="right" vertical="top"/>
    </xf>
    <xf numFmtId="4" fontId="9" fillId="3" borderId="5" xfId="0" applyNumberFormat="1" applyFont="1" applyFill="1" applyBorder="1" applyAlignment="1">
      <alignment vertical="center" wrapText="1"/>
    </xf>
    <xf numFmtId="164" fontId="0" fillId="0" borderId="0" xfId="0" applyNumberFormat="1"/>
    <xf numFmtId="0" fontId="17" fillId="0" borderId="4" xfId="3" applyBorder="1" applyAlignment="1">
      <alignment horizontal="left" vertical="top" wrapText="1"/>
    </xf>
    <xf numFmtId="40" fontId="0" fillId="0" borderId="0" xfId="0" applyNumberFormat="1" applyAlignment="1">
      <alignment wrapText="1"/>
    </xf>
    <xf numFmtId="4" fontId="0" fillId="2" borderId="0" xfId="0" applyNumberFormat="1" applyFill="1" applyAlignment="1">
      <alignment horizontal="left" vertical="top"/>
    </xf>
    <xf numFmtId="4" fontId="19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164" fontId="0" fillId="0" borderId="2" xfId="2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wrapText="1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9" fillId="2" borderId="2" xfId="0" applyNumberFormat="1" applyFont="1" applyFill="1" applyBorder="1" applyAlignment="1">
      <alignment horizontal="left" vertical="center" wrapText="1"/>
    </xf>
    <xf numFmtId="14" fontId="19" fillId="2" borderId="2" xfId="0" applyNumberFormat="1" applyFont="1" applyFill="1" applyBorder="1" applyAlignment="1">
      <alignment horizontal="center" wrapText="1"/>
    </xf>
    <xf numFmtId="14" fontId="19" fillId="2" borderId="2" xfId="0" applyNumberFormat="1" applyFont="1" applyFill="1" applyBorder="1" applyAlignment="1">
      <alignment horizontal="center" vertical="center" wrapText="1"/>
    </xf>
    <xf numFmtId="164" fontId="19" fillId="2" borderId="3" xfId="2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horizontal="right" vertical="center" wrapText="1"/>
    </xf>
    <xf numFmtId="164" fontId="19" fillId="2" borderId="2" xfId="2" applyFont="1" applyFill="1" applyBorder="1" applyAlignment="1">
      <alignment horizontal="right" vertical="center" wrapText="1"/>
    </xf>
    <xf numFmtId="14" fontId="19" fillId="2" borderId="3" xfId="2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vertical="center" wrapText="1"/>
    </xf>
    <xf numFmtId="164" fontId="19" fillId="2" borderId="2" xfId="2" applyFont="1" applyFill="1" applyBorder="1" applyAlignment="1">
      <alignment vertical="center" wrapText="1"/>
    </xf>
    <xf numFmtId="164" fontId="19" fillId="2" borderId="4" xfId="2" applyFont="1" applyFill="1" applyBorder="1" applyAlignment="1">
      <alignment vertical="center" wrapText="1"/>
    </xf>
    <xf numFmtId="165" fontId="19" fillId="2" borderId="2" xfId="2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4" fontId="19" fillId="2" borderId="0" xfId="0" applyNumberFormat="1" applyFont="1" applyFill="1" applyAlignment="1">
      <alignment horizontal="right" vertical="center" wrapText="1"/>
    </xf>
    <xf numFmtId="0" fontId="19" fillId="2" borderId="0" xfId="0" applyFont="1" applyFill="1" applyAlignment="1">
      <alignment horizontal="right" vertical="center" wrapText="1"/>
    </xf>
    <xf numFmtId="0" fontId="19" fillId="2" borderId="2" xfId="0" applyFont="1" applyFill="1" applyBorder="1" applyAlignment="1">
      <alignment horizontal="right" wrapText="1"/>
    </xf>
    <xf numFmtId="49" fontId="19" fillId="2" borderId="2" xfId="0" applyNumberFormat="1" applyFont="1" applyFill="1" applyBorder="1" applyAlignment="1">
      <alignment horizontal="center" wrapText="1"/>
    </xf>
    <xf numFmtId="165" fontId="19" fillId="2" borderId="2" xfId="2" applyNumberFormat="1" applyFont="1" applyFill="1" applyBorder="1" applyAlignment="1">
      <alignment horizontal="center" wrapText="1"/>
    </xf>
    <xf numFmtId="165" fontId="19" fillId="2" borderId="2" xfId="2" applyNumberFormat="1" applyFont="1" applyFill="1" applyBorder="1" applyAlignment="1">
      <alignment horizontal="right" wrapText="1"/>
    </xf>
    <xf numFmtId="4" fontId="19" fillId="2" borderId="2" xfId="0" applyNumberFormat="1" applyFont="1" applyFill="1" applyBorder="1" applyAlignment="1">
      <alignment horizontal="center" vertical="center"/>
    </xf>
    <xf numFmtId="14" fontId="19" fillId="2" borderId="2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wrapText="1"/>
    </xf>
    <xf numFmtId="49" fontId="24" fillId="2" borderId="2" xfId="0" applyNumberFormat="1" applyFont="1" applyFill="1" applyBorder="1" applyAlignment="1">
      <alignment horizontal="center" wrapText="1"/>
    </xf>
    <xf numFmtId="4" fontId="24" fillId="2" borderId="2" xfId="0" applyNumberFormat="1" applyFont="1" applyFill="1" applyBorder="1" applyAlignment="1">
      <alignment horizontal="center" wrapText="1"/>
    </xf>
    <xf numFmtId="14" fontId="24" fillId="2" borderId="2" xfId="0" applyNumberFormat="1" applyFont="1" applyFill="1" applyBorder="1" applyAlignment="1">
      <alignment horizontal="center" wrapText="1"/>
    </xf>
    <xf numFmtId="165" fontId="24" fillId="0" borderId="2" xfId="2" applyNumberFormat="1" applyFont="1" applyFill="1" applyBorder="1" applyAlignment="1">
      <alignment horizontal="right" vertical="center" wrapText="1"/>
    </xf>
    <xf numFmtId="4" fontId="24" fillId="2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9" fillId="2" borderId="0" xfId="0" applyNumberFormat="1" applyFont="1" applyFill="1" applyAlignment="1">
      <alignment horizontal="center" vertical="center" wrapText="1"/>
    </xf>
    <xf numFmtId="49" fontId="19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center" wrapText="1"/>
    </xf>
    <xf numFmtId="49" fontId="19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164" fontId="22" fillId="2" borderId="0" xfId="2" applyFont="1" applyFill="1"/>
    <xf numFmtId="164" fontId="19" fillId="2" borderId="0" xfId="2" applyFont="1" applyFill="1"/>
    <xf numFmtId="164" fontId="19" fillId="2" borderId="0" xfId="2" applyFont="1" applyFill="1" applyBorder="1" applyAlignment="1">
      <alignment vertical="center" wrapText="1"/>
    </xf>
    <xf numFmtId="164" fontId="19" fillId="2" borderId="2" xfId="2" applyFont="1" applyFill="1" applyBorder="1" applyAlignment="1">
      <alignment horizontal="center" wrapText="1"/>
    </xf>
    <xf numFmtId="165" fontId="24" fillId="2" borderId="2" xfId="2" applyNumberFormat="1" applyFont="1" applyFill="1" applyBorder="1" applyAlignment="1">
      <alignment vertical="center" wrapText="1"/>
    </xf>
    <xf numFmtId="165" fontId="24" fillId="2" borderId="2" xfId="2" applyNumberFormat="1" applyFont="1" applyFill="1" applyBorder="1" applyAlignment="1">
      <alignment horizontal="right" vertical="center" wrapText="1"/>
    </xf>
    <xf numFmtId="164" fontId="19" fillId="2" borderId="0" xfId="2" applyFont="1" applyFill="1" applyAlignment="1">
      <alignment horizontal="left" vertical="center" wrapText="1"/>
    </xf>
    <xf numFmtId="164" fontId="19" fillId="2" borderId="0" xfId="2" applyFont="1" applyFill="1" applyAlignment="1">
      <alignment horizontal="center" vertical="center"/>
    </xf>
    <xf numFmtId="164" fontId="19" fillId="2" borderId="1" xfId="2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166" fontId="11" fillId="2" borderId="4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right"/>
    </xf>
    <xf numFmtId="0" fontId="22" fillId="2" borderId="2" xfId="0" applyFont="1" applyFill="1" applyBorder="1"/>
    <xf numFmtId="0" fontId="22" fillId="2" borderId="3" xfId="0" applyFont="1" applyFill="1" applyBorder="1"/>
    <xf numFmtId="4" fontId="19" fillId="2" borderId="2" xfId="0" applyNumberFormat="1" applyFont="1" applyFill="1" applyBorder="1" applyAlignment="1">
      <alignment vertical="center" wrapText="1"/>
    </xf>
    <xf numFmtId="164" fontId="22" fillId="2" borderId="0" xfId="2" applyFont="1" applyFill="1" applyAlignment="1">
      <alignment horizontal="right"/>
    </xf>
    <xf numFmtId="4" fontId="22" fillId="2" borderId="0" xfId="0" applyNumberFormat="1" applyFont="1" applyFill="1" applyAlignment="1">
      <alignment horizontal="right"/>
    </xf>
    <xf numFmtId="0" fontId="22" fillId="2" borderId="2" xfId="0" applyFont="1" applyFill="1" applyBorder="1" applyAlignment="1">
      <alignment horizontal="center"/>
    </xf>
    <xf numFmtId="4" fontId="19" fillId="2" borderId="2" xfId="0" applyNumberFormat="1" applyFont="1" applyFill="1" applyBorder="1" applyAlignment="1">
      <alignment horizontal="right" vertical="center"/>
    </xf>
    <xf numFmtId="4" fontId="24" fillId="2" borderId="2" xfId="0" applyNumberFormat="1" applyFont="1" applyFill="1" applyBorder="1" applyAlignment="1">
      <alignment horizontal="right"/>
    </xf>
    <xf numFmtId="49" fontId="19" fillId="2" borderId="2" xfId="0" applyNumberFormat="1" applyFont="1" applyFill="1" applyBorder="1" applyAlignment="1">
      <alignment vertical="center" wrapText="1"/>
    </xf>
    <xf numFmtId="164" fontId="0" fillId="6" borderId="2" xfId="2" applyFont="1" applyFill="1" applyBorder="1" applyAlignment="1">
      <alignment horizontal="left" wrapText="1"/>
    </xf>
    <xf numFmtId="49" fontId="19" fillId="2" borderId="2" xfId="0" applyNumberFormat="1" applyFont="1" applyFill="1" applyBorder="1" applyAlignment="1">
      <alignment vertical="center"/>
    </xf>
    <xf numFmtId="14" fontId="19" fillId="2" borderId="2" xfId="0" applyNumberFormat="1" applyFont="1" applyFill="1" applyBorder="1" applyAlignment="1">
      <alignment vertical="center"/>
    </xf>
    <xf numFmtId="3" fontId="19" fillId="2" borderId="2" xfId="0" applyNumberFormat="1" applyFont="1" applyFill="1" applyBorder="1" applyAlignment="1">
      <alignment vertical="center"/>
    </xf>
    <xf numFmtId="4" fontId="19" fillId="2" borderId="2" xfId="0" applyNumberFormat="1" applyFont="1" applyFill="1" applyBorder="1" applyAlignment="1">
      <alignment vertical="center"/>
    </xf>
    <xf numFmtId="165" fontId="19" fillId="2" borderId="2" xfId="2" applyNumberFormat="1" applyFont="1" applyFill="1" applyBorder="1" applyAlignment="1">
      <alignment horizontal="center" vertical="center" wrapText="1"/>
    </xf>
    <xf numFmtId="165" fontId="19" fillId="2" borderId="5" xfId="2" applyNumberFormat="1" applyFont="1" applyFill="1" applyBorder="1" applyAlignment="1">
      <alignment horizontal="right" vertical="center" wrapText="1"/>
    </xf>
    <xf numFmtId="14" fontId="19" fillId="6" borderId="2" xfId="0" applyNumberFormat="1" applyFont="1" applyFill="1" applyBorder="1" applyAlignment="1">
      <alignment horizontal="center" wrapText="1"/>
    </xf>
    <xf numFmtId="0" fontId="19" fillId="6" borderId="2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left" vertical="center" wrapText="1"/>
    </xf>
    <xf numFmtId="49" fontId="19" fillId="6" borderId="2" xfId="0" applyNumberFormat="1" applyFont="1" applyFill="1" applyBorder="1" applyAlignment="1">
      <alignment horizontal="center" wrapText="1"/>
    </xf>
    <xf numFmtId="164" fontId="19" fillId="6" borderId="2" xfId="2" applyFont="1" applyFill="1" applyBorder="1" applyAlignment="1">
      <alignment horizontal="center" wrapText="1"/>
    </xf>
    <xf numFmtId="4" fontId="19" fillId="6" borderId="2" xfId="0" applyNumberFormat="1" applyFont="1" applyFill="1" applyBorder="1" applyAlignment="1">
      <alignment horizontal="center" wrapText="1"/>
    </xf>
    <xf numFmtId="4" fontId="19" fillId="6" borderId="2" xfId="0" applyNumberFormat="1" applyFont="1" applyFill="1" applyBorder="1" applyAlignment="1">
      <alignment horizontal="right"/>
    </xf>
    <xf numFmtId="4" fontId="19" fillId="6" borderId="2" xfId="0" applyNumberFormat="1" applyFont="1" applyFill="1" applyBorder="1" applyAlignment="1">
      <alignment horizontal="center"/>
    </xf>
    <xf numFmtId="14" fontId="19" fillId="6" borderId="2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vertical="center" wrapText="1"/>
    </xf>
    <xf numFmtId="49" fontId="11" fillId="6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165" fontId="19" fillId="2" borderId="4" xfId="2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right" vertical="center" wrapText="1"/>
    </xf>
    <xf numFmtId="4" fontId="19" fillId="2" borderId="4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left" vertical="center" wrapText="1"/>
    </xf>
    <xf numFmtId="164" fontId="19" fillId="2" borderId="3" xfId="2" applyFont="1" applyFill="1" applyBorder="1" applyAlignment="1">
      <alignment horizontal="right" vertical="center" wrapText="1"/>
    </xf>
    <xf numFmtId="164" fontId="19" fillId="2" borderId="3" xfId="2" applyFont="1" applyFill="1" applyBorder="1" applyAlignment="1">
      <alignment horizontal="center" vertical="center" wrapText="1"/>
    </xf>
    <xf numFmtId="164" fontId="19" fillId="2" borderId="5" xfId="2" applyFont="1" applyFill="1" applyBorder="1" applyAlignment="1">
      <alignment horizontal="center" vertical="center" wrapText="1"/>
    </xf>
    <xf numFmtId="14" fontId="19" fillId="2" borderId="3" xfId="0" applyNumberFormat="1" applyFont="1" applyFill="1" applyBorder="1" applyAlignment="1">
      <alignment horizontal="center" vertical="center" wrapText="1"/>
    </xf>
    <xf numFmtId="14" fontId="19" fillId="2" borderId="4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/>
    </xf>
    <xf numFmtId="14" fontId="19" fillId="2" borderId="5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4" fontId="19" fillId="2" borderId="5" xfId="0" applyNumberFormat="1" applyFont="1" applyFill="1" applyBorder="1" applyAlignment="1">
      <alignment horizontal="right" vertical="center"/>
    </xf>
    <xf numFmtId="4" fontId="19" fillId="2" borderId="4" xfId="0" applyNumberFormat="1" applyFont="1" applyFill="1" applyBorder="1" applyAlignment="1">
      <alignment horizontal="right" vertical="center"/>
    </xf>
    <xf numFmtId="165" fontId="19" fillId="2" borderId="5" xfId="2" applyNumberFormat="1" applyFont="1" applyFill="1" applyBorder="1" applyAlignment="1">
      <alignment horizontal="center" vertical="center" wrapText="1"/>
    </xf>
    <xf numFmtId="165" fontId="19" fillId="2" borderId="4" xfId="2" applyNumberFormat="1" applyFont="1" applyFill="1" applyBorder="1" applyAlignment="1">
      <alignment horizontal="right" vertical="center" wrapText="1"/>
    </xf>
    <xf numFmtId="14" fontId="19" fillId="2" borderId="3" xfId="0" applyNumberFormat="1" applyFont="1" applyFill="1" applyBorder="1" applyAlignment="1">
      <alignment horizontal="center" wrapText="1"/>
    </xf>
    <xf numFmtId="14" fontId="19" fillId="2" borderId="4" xfId="0" applyNumberFormat="1" applyFont="1" applyFill="1" applyBorder="1" applyAlignment="1">
      <alignment horizontal="center" wrapText="1"/>
    </xf>
    <xf numFmtId="164" fontId="19" fillId="0" borderId="3" xfId="2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horizontal="center"/>
    </xf>
    <xf numFmtId="49" fontId="11" fillId="2" borderId="0" xfId="0" applyNumberFormat="1" applyFont="1" applyFill="1" applyAlignment="1">
      <alignment horizontal="left" vertical="center" wrapText="1"/>
    </xf>
    <xf numFmtId="164" fontId="19" fillId="2" borderId="2" xfId="2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65" fontId="25" fillId="2" borderId="2" xfId="2" applyNumberFormat="1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2" fillId="2" borderId="2" xfId="0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2" fillId="2" borderId="3" xfId="0" applyFont="1" applyFill="1" applyBorder="1" applyAlignment="1">
      <alignment horizontal="center" vertical="center"/>
    </xf>
    <xf numFmtId="164" fontId="19" fillId="2" borderId="4" xfId="2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2" applyNumberFormat="1" applyFont="1" applyFill="1" applyBorder="1" applyAlignment="1">
      <alignment horizontal="right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center" vertical="top" wrapText="1"/>
    </xf>
    <xf numFmtId="4" fontId="19" fillId="0" borderId="2" xfId="0" applyNumberFormat="1" applyFont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4" fontId="19" fillId="0" borderId="2" xfId="0" applyNumberFormat="1" applyFont="1" applyBorder="1" applyAlignment="1">
      <alignment horizontal="center" vertical="top" wrapText="1"/>
    </xf>
    <xf numFmtId="49" fontId="1" fillId="2" borderId="0" xfId="0" applyNumberFormat="1" applyFont="1" applyFill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right"/>
    </xf>
    <xf numFmtId="49" fontId="1" fillId="2" borderId="8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49" fontId="1" fillId="2" borderId="7" xfId="0" applyNumberFormat="1" applyFont="1" applyFill="1" applyBorder="1" applyAlignment="1">
      <alignment vertical="center" wrapText="1"/>
    </xf>
    <xf numFmtId="49" fontId="1" fillId="2" borderId="7" xfId="0" applyNumberFormat="1" applyFont="1" applyFill="1" applyBorder="1" applyAlignment="1">
      <alignment horizontal="right" vertical="center" wrapText="1"/>
    </xf>
    <xf numFmtId="0" fontId="19" fillId="0" borderId="2" xfId="0" applyFont="1" applyBorder="1" applyAlignment="1">
      <alignment vertical="top" wrapText="1"/>
    </xf>
    <xf numFmtId="0" fontId="19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19" fillId="2" borderId="2" xfId="2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/>
    </xf>
    <xf numFmtId="165" fontId="19" fillId="0" borderId="2" xfId="2" applyNumberFormat="1" applyFont="1" applyFill="1" applyBorder="1" applyAlignment="1">
      <alignment horizontal="righ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horizontal="right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9" fillId="3" borderId="3" xfId="0" applyNumberFormat="1" applyFont="1" applyFill="1" applyBorder="1" applyAlignment="1">
      <alignment horizontal="center" wrapText="1"/>
    </xf>
    <xf numFmtId="4" fontId="9" fillId="3" borderId="4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4" fontId="0" fillId="2" borderId="3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wrapText="1"/>
    </xf>
    <xf numFmtId="4" fontId="9" fillId="2" borderId="5" xfId="0" applyNumberFormat="1" applyFont="1" applyFill="1" applyBorder="1" applyAlignment="1">
      <alignment horizontal="center" wrapText="1"/>
    </xf>
    <xf numFmtId="4" fontId="9" fillId="2" borderId="4" xfId="0" applyNumberFormat="1" applyFont="1" applyFill="1" applyBorder="1" applyAlignment="1">
      <alignment horizontal="center" wrapText="1"/>
    </xf>
    <xf numFmtId="14" fontId="9" fillId="5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wrapText="1"/>
    </xf>
    <xf numFmtId="0" fontId="0" fillId="2" borderId="2" xfId="0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left" vertical="center" wrapText="1"/>
    </xf>
    <xf numFmtId="0" fontId="17" fillId="0" borderId="2" xfId="4" applyBorder="1" applyAlignment="1">
      <alignment horizontal="left" vertical="top" wrapText="1"/>
    </xf>
    <xf numFmtId="0" fontId="17" fillId="0" borderId="12" xfId="4" applyBorder="1" applyAlignment="1">
      <alignment horizontal="left" vertical="top"/>
    </xf>
    <xf numFmtId="0" fontId="21" fillId="0" borderId="10" xfId="4" applyFont="1" applyBorder="1" applyAlignment="1">
      <alignment horizontal="center" vertical="top"/>
    </xf>
    <xf numFmtId="164" fontId="19" fillId="0" borderId="3" xfId="2" applyFont="1" applyFill="1" applyBorder="1" applyAlignment="1">
      <alignment horizontal="right" vertical="center" wrapText="1"/>
    </xf>
    <xf numFmtId="164" fontId="19" fillId="0" borderId="5" xfId="2" applyFont="1" applyFill="1" applyBorder="1" applyAlignment="1">
      <alignment horizontal="right" vertical="center" wrapText="1"/>
    </xf>
    <xf numFmtId="164" fontId="19" fillId="0" borderId="4" xfId="2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14" fontId="19" fillId="2" borderId="3" xfId="0" applyNumberFormat="1" applyFont="1" applyFill="1" applyBorder="1" applyAlignment="1">
      <alignment horizontal="center" vertical="center" wrapText="1"/>
    </xf>
    <xf numFmtId="14" fontId="19" fillId="2" borderId="4" xfId="0" applyNumberFormat="1" applyFont="1" applyFill="1" applyBorder="1" applyAlignment="1">
      <alignment horizontal="center" vertical="center" wrapText="1"/>
    </xf>
    <xf numFmtId="164" fontId="19" fillId="2" borderId="3" xfId="2" applyFont="1" applyFill="1" applyBorder="1" applyAlignment="1">
      <alignment horizontal="center" vertical="center" wrapText="1"/>
    </xf>
    <xf numFmtId="164" fontId="19" fillId="2" borderId="4" xfId="2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right" vertical="center" wrapText="1"/>
    </xf>
    <xf numFmtId="4" fontId="19" fillId="2" borderId="4" xfId="0" applyNumberFormat="1" applyFont="1" applyFill="1" applyBorder="1" applyAlignment="1">
      <alignment horizontal="right" vertical="center" wrapText="1"/>
    </xf>
    <xf numFmtId="0" fontId="19" fillId="2" borderId="5" xfId="0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center" wrapText="1"/>
    </xf>
    <xf numFmtId="164" fontId="19" fillId="2" borderId="3" xfId="2" applyFont="1" applyFill="1" applyBorder="1" applyAlignment="1">
      <alignment horizontal="right" vertical="center" wrapText="1"/>
    </xf>
    <xf numFmtId="164" fontId="19" fillId="2" borderId="5" xfId="2" applyFont="1" applyFill="1" applyBorder="1" applyAlignment="1">
      <alignment horizontal="right" vertical="center" wrapText="1"/>
    </xf>
    <xf numFmtId="164" fontId="19" fillId="2" borderId="4" xfId="2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left" vertical="center" wrapText="1"/>
    </xf>
    <xf numFmtId="164" fontId="19" fillId="2" borderId="5" xfId="2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4" fontId="0" fillId="2" borderId="9" xfId="0" applyNumberFormat="1" applyFill="1" applyBorder="1" applyAlignment="1">
      <alignment horizontal="center"/>
    </xf>
    <xf numFmtId="49" fontId="19" fillId="2" borderId="5" xfId="0" applyNumberFormat="1" applyFont="1" applyFill="1" applyBorder="1" applyAlignment="1">
      <alignment horizontal="center" vertical="center" wrapText="1"/>
    </xf>
    <xf numFmtId="14" fontId="19" fillId="2" borderId="3" xfId="0" applyNumberFormat="1" applyFont="1" applyFill="1" applyBorder="1" applyAlignment="1">
      <alignment horizontal="center" wrapText="1"/>
    </xf>
    <xf numFmtId="14" fontId="19" fillId="2" borderId="4" xfId="0" applyNumberFormat="1" applyFont="1" applyFill="1" applyBorder="1" applyAlignment="1">
      <alignment horizontal="center" wrapText="1"/>
    </xf>
    <xf numFmtId="4" fontId="19" fillId="2" borderId="5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2" fontId="19" fillId="2" borderId="3" xfId="0" applyNumberFormat="1" applyFont="1" applyFill="1" applyBorder="1" applyAlignment="1">
      <alignment horizontal="center" vertical="center" wrapText="1"/>
    </xf>
    <xf numFmtId="2" fontId="19" fillId="2" borderId="4" xfId="0" applyNumberFormat="1" applyFont="1" applyFill="1" applyBorder="1" applyAlignment="1">
      <alignment horizontal="center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4" fontId="19" fillId="2" borderId="4" xfId="0" applyNumberFormat="1" applyFont="1" applyFill="1" applyBorder="1" applyAlignment="1">
      <alignment horizontal="center" vertical="center" wrapText="1"/>
    </xf>
    <xf numFmtId="164" fontId="9" fillId="2" borderId="3" xfId="2" applyFont="1" applyFill="1" applyBorder="1" applyAlignment="1">
      <alignment horizontal="center" vertical="center" wrapText="1"/>
    </xf>
    <xf numFmtId="164" fontId="9" fillId="2" borderId="5" xfId="2" applyFont="1" applyFill="1" applyBorder="1" applyAlignment="1">
      <alignment horizontal="center" vertical="center" wrapText="1"/>
    </xf>
    <xf numFmtId="164" fontId="9" fillId="2" borderId="4" xfId="2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164" fontId="19" fillId="2" borderId="2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19" fillId="2" borderId="5" xfId="0" applyFont="1" applyFill="1" applyBorder="1" applyAlignment="1">
      <alignment horizontal="right" vertical="center" wrapText="1"/>
    </xf>
    <xf numFmtId="0" fontId="19" fillId="2" borderId="4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right" vertical="center" wrapText="1"/>
    </xf>
    <xf numFmtId="165" fontId="19" fillId="2" borderId="3" xfId="2" applyNumberFormat="1" applyFont="1" applyFill="1" applyBorder="1" applyAlignment="1">
      <alignment horizontal="right" vertical="center" wrapText="1"/>
    </xf>
    <xf numFmtId="165" fontId="19" fillId="2" borderId="4" xfId="2" applyNumberFormat="1" applyFont="1" applyFill="1" applyBorder="1" applyAlignment="1">
      <alignment horizontal="right" vertical="center" wrapText="1"/>
    </xf>
    <xf numFmtId="3" fontId="19" fillId="2" borderId="3" xfId="0" applyNumberFormat="1" applyFont="1" applyFill="1" applyBorder="1" applyAlignment="1">
      <alignment horizontal="right" vertical="center"/>
    </xf>
    <xf numFmtId="3" fontId="19" fillId="2" borderId="4" xfId="0" applyNumberFormat="1" applyFont="1" applyFill="1" applyBorder="1" applyAlignment="1">
      <alignment horizontal="right" vertical="center"/>
    </xf>
    <xf numFmtId="4" fontId="19" fillId="2" borderId="3" xfId="0" applyNumberFormat="1" applyFont="1" applyFill="1" applyBorder="1" applyAlignment="1">
      <alignment horizontal="right" vertical="center"/>
    </xf>
    <xf numFmtId="4" fontId="19" fillId="2" borderId="4" xfId="0" applyNumberFormat="1" applyFont="1" applyFill="1" applyBorder="1" applyAlignment="1">
      <alignment horizontal="right" vertical="center"/>
    </xf>
    <xf numFmtId="165" fontId="19" fillId="2" borderId="3" xfId="2" applyNumberFormat="1" applyFont="1" applyFill="1" applyBorder="1" applyAlignment="1">
      <alignment horizontal="center" vertical="center" wrapText="1"/>
    </xf>
    <xf numFmtId="165" fontId="19" fillId="2" borderId="5" xfId="2" applyNumberFormat="1" applyFont="1" applyFill="1" applyBorder="1" applyAlignment="1">
      <alignment horizontal="center" vertical="center" wrapText="1"/>
    </xf>
    <xf numFmtId="165" fontId="19" fillId="2" borderId="4" xfId="2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14" fontId="19" fillId="2" borderId="3" xfId="0" applyNumberFormat="1" applyFont="1" applyFill="1" applyBorder="1" applyAlignment="1">
      <alignment horizontal="center" vertical="center"/>
    </xf>
    <xf numFmtId="14" fontId="19" fillId="2" borderId="5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4" fontId="19" fillId="2" borderId="5" xfId="0" applyNumberFormat="1" applyFont="1" applyFill="1" applyBorder="1" applyAlignment="1">
      <alignment horizontal="right" vertical="center"/>
    </xf>
    <xf numFmtId="4" fontId="19" fillId="2" borderId="3" xfId="0" applyNumberFormat="1" applyFont="1" applyFill="1" applyBorder="1" applyAlignment="1">
      <alignment horizontal="center" vertical="center"/>
    </xf>
    <xf numFmtId="4" fontId="19" fillId="2" borderId="4" xfId="0" applyNumberFormat="1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_Лист1" xfId="4"/>
    <cellStyle name="Обычный_Расчет сс Юля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9"/>
  <sheetViews>
    <sheetView topLeftCell="A303" zoomScale="70" zoomScaleNormal="70" workbookViewId="0">
      <selection activeCell="B316" sqref="B316"/>
    </sheetView>
  </sheetViews>
  <sheetFormatPr defaultRowHeight="15.75" x14ac:dyDescent="0.25"/>
  <cols>
    <col min="1" max="1" width="4.5703125" style="7" customWidth="1"/>
    <col min="2" max="2" width="58.85546875" style="29" customWidth="1"/>
    <col min="3" max="3" width="24" style="7" customWidth="1"/>
    <col min="4" max="4" width="12.7109375" style="7" customWidth="1"/>
    <col min="5" max="5" width="16.7109375" style="7" customWidth="1"/>
    <col min="6" max="6" width="19.140625" style="69" customWidth="1"/>
    <col min="7" max="7" width="15.42578125" style="7" customWidth="1"/>
    <col min="8" max="8" width="12.7109375" style="7" customWidth="1"/>
    <col min="9" max="9" width="31.28515625" style="7" bestFit="1" customWidth="1"/>
    <col min="10" max="10" width="30.42578125" style="7" bestFit="1" customWidth="1"/>
    <col min="11" max="11" width="16.28515625" style="7" customWidth="1"/>
    <col min="12" max="12" width="15.7109375" style="7" customWidth="1"/>
    <col min="13" max="13" width="17.85546875" style="7" customWidth="1"/>
    <col min="14" max="14" width="15.85546875" style="7" customWidth="1"/>
    <col min="15" max="15" width="17.42578125" style="7" customWidth="1"/>
    <col min="16" max="16" width="18.140625" style="7" customWidth="1"/>
    <col min="17" max="17" width="28.28515625" style="7" bestFit="1" customWidth="1"/>
    <col min="18" max="18" width="15.140625" customWidth="1"/>
  </cols>
  <sheetData>
    <row r="1" spans="1:18" ht="48.75" customHeight="1" x14ac:dyDescent="0.25">
      <c r="A1" s="385" t="s">
        <v>38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</row>
    <row r="2" spans="1:18" x14ac:dyDescent="0.25">
      <c r="A2" s="388" t="s">
        <v>2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</row>
    <row r="3" spans="1:18" ht="75" customHeight="1" x14ac:dyDescent="0.25">
      <c r="A3" s="389" t="s">
        <v>32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</row>
    <row r="4" spans="1:18" ht="15.75" customHeight="1" x14ac:dyDescent="0.25">
      <c r="A4" s="390" t="s">
        <v>47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</row>
    <row r="5" spans="1:18" ht="15.75" customHeight="1" x14ac:dyDescent="0.25">
      <c r="A5" s="390" t="s">
        <v>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</row>
    <row r="6" spans="1:18" x14ac:dyDescent="0.25">
      <c r="L6" s="32"/>
      <c r="Q6" s="33" t="s">
        <v>12</v>
      </c>
    </row>
    <row r="7" spans="1:18" ht="49.5" customHeight="1" x14ac:dyDescent="0.25">
      <c r="A7" s="387" t="s">
        <v>15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</row>
    <row r="8" spans="1:18" x14ac:dyDescent="0.25">
      <c r="A8" s="8"/>
      <c r="B8" s="8"/>
      <c r="C8" s="33"/>
      <c r="D8" s="33"/>
      <c r="E8" s="33"/>
      <c r="F8" s="70"/>
      <c r="G8" s="33"/>
      <c r="H8" s="33"/>
      <c r="I8" s="33"/>
      <c r="J8" s="33"/>
      <c r="K8" s="33"/>
      <c r="L8" s="33"/>
    </row>
    <row r="9" spans="1:18" ht="82.5" customHeight="1" x14ac:dyDescent="0.25">
      <c r="A9" s="9" t="s">
        <v>14</v>
      </c>
      <c r="B9" s="9" t="s">
        <v>0</v>
      </c>
      <c r="C9" s="34" t="s">
        <v>24</v>
      </c>
      <c r="D9" s="34" t="s">
        <v>25</v>
      </c>
      <c r="E9" s="34" t="s">
        <v>22</v>
      </c>
      <c r="F9" s="71" t="s">
        <v>11</v>
      </c>
      <c r="G9" s="34" t="s">
        <v>26</v>
      </c>
      <c r="H9" s="34" t="s">
        <v>27</v>
      </c>
      <c r="I9" s="34" t="s">
        <v>31</v>
      </c>
      <c r="J9" s="34" t="s">
        <v>39</v>
      </c>
      <c r="K9" s="34" t="s">
        <v>28</v>
      </c>
      <c r="L9" s="34" t="s">
        <v>29</v>
      </c>
      <c r="M9" s="34" t="s">
        <v>41</v>
      </c>
      <c r="N9" s="34" t="s">
        <v>40</v>
      </c>
      <c r="O9" s="34" t="s">
        <v>23</v>
      </c>
      <c r="P9" s="34" t="s">
        <v>30</v>
      </c>
      <c r="Q9" s="34" t="s">
        <v>42</v>
      </c>
    </row>
    <row r="10" spans="1:18" ht="15" customHeight="1" x14ac:dyDescent="0.25">
      <c r="A10" s="9">
        <v>1</v>
      </c>
      <c r="B10" s="9">
        <v>2</v>
      </c>
      <c r="C10" s="34">
        <v>3</v>
      </c>
      <c r="D10" s="34">
        <v>4</v>
      </c>
      <c r="E10" s="34">
        <v>5</v>
      </c>
      <c r="F10" s="71">
        <v>6</v>
      </c>
      <c r="G10" s="34">
        <v>7</v>
      </c>
      <c r="H10" s="34">
        <v>8</v>
      </c>
      <c r="I10" s="34">
        <v>9</v>
      </c>
      <c r="J10" s="34">
        <v>10</v>
      </c>
      <c r="K10" s="34">
        <v>11</v>
      </c>
      <c r="L10" s="34">
        <v>12</v>
      </c>
      <c r="M10" s="34">
        <v>13</v>
      </c>
      <c r="N10" s="34">
        <v>14</v>
      </c>
      <c r="O10" s="34">
        <v>15</v>
      </c>
      <c r="P10" s="34">
        <v>16</v>
      </c>
      <c r="Q10" s="34">
        <v>17</v>
      </c>
    </row>
    <row r="11" spans="1:18" ht="54" customHeight="1" x14ac:dyDescent="0.25">
      <c r="A11" s="9">
        <v>1</v>
      </c>
      <c r="B11" s="13" t="s">
        <v>16</v>
      </c>
      <c r="C11" s="35"/>
      <c r="D11" s="34"/>
      <c r="E11" s="34"/>
      <c r="F11" s="71"/>
      <c r="G11" s="34"/>
      <c r="H11" s="34"/>
      <c r="I11" s="34"/>
      <c r="J11" s="34"/>
      <c r="K11" s="34"/>
      <c r="L11" s="34"/>
      <c r="M11" s="36"/>
      <c r="N11" s="36"/>
      <c r="O11" s="36"/>
      <c r="P11" s="36"/>
      <c r="Q11" s="36"/>
    </row>
    <row r="12" spans="1:18" ht="48" customHeight="1" x14ac:dyDescent="0.25">
      <c r="A12" s="9">
        <v>2</v>
      </c>
      <c r="B12" s="13" t="s">
        <v>17</v>
      </c>
      <c r="C12" s="35"/>
      <c r="D12" s="34"/>
      <c r="E12" s="34"/>
      <c r="F12" s="71"/>
      <c r="G12" s="34"/>
      <c r="H12" s="34"/>
      <c r="I12" s="34"/>
      <c r="J12" s="34"/>
      <c r="K12" s="34"/>
      <c r="L12" s="34"/>
      <c r="M12" s="36"/>
      <c r="N12" s="36"/>
      <c r="O12" s="36"/>
      <c r="P12" s="36"/>
      <c r="Q12" s="36"/>
    </row>
    <row r="13" spans="1:18" ht="78.75" customHeight="1" x14ac:dyDescent="0.25">
      <c r="A13" s="9">
        <v>3</v>
      </c>
      <c r="B13" s="10" t="s">
        <v>18</v>
      </c>
      <c r="C13" s="37"/>
      <c r="D13" s="38"/>
      <c r="E13" s="38"/>
      <c r="F13" s="72"/>
      <c r="G13" s="37"/>
      <c r="H13" s="37"/>
      <c r="I13" s="37"/>
      <c r="J13" s="37"/>
      <c r="K13" s="37"/>
      <c r="L13" s="37"/>
      <c r="M13" s="36"/>
      <c r="N13" s="36"/>
      <c r="O13" s="36"/>
      <c r="P13" s="36"/>
      <c r="Q13" s="36"/>
    </row>
    <row r="14" spans="1:18" s="2" customFormat="1" ht="31.5" customHeight="1" x14ac:dyDescent="0.25">
      <c r="A14" s="441"/>
      <c r="B14" s="447" t="s">
        <v>1838</v>
      </c>
      <c r="C14" s="424">
        <v>172</v>
      </c>
      <c r="D14" s="426" t="s">
        <v>49</v>
      </c>
      <c r="E14" s="39"/>
      <c r="F14" s="422" t="s">
        <v>2131</v>
      </c>
      <c r="G14" s="40">
        <v>9183</v>
      </c>
      <c r="H14" s="41">
        <v>41607</v>
      </c>
      <c r="I14" s="42">
        <v>76271.19</v>
      </c>
      <c r="J14" s="42">
        <v>90000</v>
      </c>
      <c r="K14" s="43" t="s">
        <v>50</v>
      </c>
      <c r="L14" s="44">
        <v>41601</v>
      </c>
      <c r="M14" s="45">
        <v>50847.46</v>
      </c>
      <c r="N14" s="428">
        <v>120000</v>
      </c>
      <c r="O14" s="444"/>
      <c r="P14" s="42">
        <f>M14</f>
        <v>50847.46</v>
      </c>
      <c r="Q14" s="434">
        <f>N14</f>
        <v>120000</v>
      </c>
      <c r="R14" s="134">
        <f>I14/1.18</f>
        <v>64636.601694915262</v>
      </c>
    </row>
    <row r="15" spans="1:18" s="2" customFormat="1" ht="14.25" customHeight="1" x14ac:dyDescent="0.25">
      <c r="A15" s="442"/>
      <c r="B15" s="448"/>
      <c r="C15" s="425"/>
      <c r="D15" s="427"/>
      <c r="E15" s="39"/>
      <c r="F15" s="423"/>
      <c r="G15" s="40" t="s">
        <v>52</v>
      </c>
      <c r="H15" s="41">
        <v>41563</v>
      </c>
      <c r="I15" s="42">
        <v>76271.19</v>
      </c>
      <c r="J15" s="42">
        <v>90000</v>
      </c>
      <c r="K15" s="43" t="s">
        <v>50</v>
      </c>
      <c r="L15" s="44">
        <v>41601</v>
      </c>
      <c r="M15" s="45">
        <v>50847.46</v>
      </c>
      <c r="N15" s="429"/>
      <c r="O15" s="445"/>
      <c r="P15" s="42">
        <f>M15</f>
        <v>50847.46</v>
      </c>
      <c r="Q15" s="436"/>
    </row>
    <row r="16" spans="1:18" s="1" customFormat="1" ht="14.25" customHeight="1" x14ac:dyDescent="0.25">
      <c r="A16" s="442"/>
      <c r="B16" s="448"/>
      <c r="C16" s="416">
        <v>177</v>
      </c>
      <c r="D16" s="412" t="s">
        <v>51</v>
      </c>
      <c r="E16" s="46"/>
      <c r="F16" s="431"/>
      <c r="G16" s="34">
        <v>8067</v>
      </c>
      <c r="H16" s="47">
        <v>41570</v>
      </c>
      <c r="I16" s="48">
        <v>84745.76</v>
      </c>
      <c r="J16" s="48">
        <v>100000</v>
      </c>
      <c r="K16" s="43" t="s">
        <v>50</v>
      </c>
      <c r="L16" s="47">
        <v>41625</v>
      </c>
      <c r="M16" s="434">
        <v>112994.35</v>
      </c>
      <c r="N16" s="434">
        <v>133333.32999999999</v>
      </c>
      <c r="O16" s="444"/>
      <c r="P16" s="434">
        <f>M16</f>
        <v>112994.35</v>
      </c>
      <c r="Q16" s="434">
        <f>N16</f>
        <v>133333.32999999999</v>
      </c>
    </row>
    <row r="17" spans="1:17" s="1" customFormat="1" ht="14.25" customHeight="1" x14ac:dyDescent="0.25">
      <c r="A17" s="442"/>
      <c r="B17" s="448"/>
      <c r="C17" s="430"/>
      <c r="D17" s="413"/>
      <c r="E17" s="38"/>
      <c r="F17" s="432"/>
      <c r="G17" s="34">
        <v>581</v>
      </c>
      <c r="H17" s="49">
        <v>41669</v>
      </c>
      <c r="I17" s="25">
        <v>42372.88</v>
      </c>
      <c r="J17" s="25">
        <v>50000</v>
      </c>
      <c r="K17" s="43" t="s">
        <v>50</v>
      </c>
      <c r="L17" s="47">
        <v>41625</v>
      </c>
      <c r="M17" s="435"/>
      <c r="N17" s="435"/>
      <c r="O17" s="446"/>
      <c r="P17" s="435"/>
      <c r="Q17" s="435"/>
    </row>
    <row r="18" spans="1:17" s="1" customFormat="1" ht="14.25" customHeight="1" x14ac:dyDescent="0.25">
      <c r="A18" s="443"/>
      <c r="B18" s="449"/>
      <c r="C18" s="417"/>
      <c r="D18" s="414"/>
      <c r="E18" s="38"/>
      <c r="F18" s="433"/>
      <c r="G18" s="34">
        <v>2053</v>
      </c>
      <c r="H18" s="49">
        <v>41718</v>
      </c>
      <c r="I18" s="25">
        <v>42372.88</v>
      </c>
      <c r="J18" s="25">
        <v>50000</v>
      </c>
      <c r="K18" s="43" t="s">
        <v>50</v>
      </c>
      <c r="L18" s="47">
        <v>41625</v>
      </c>
      <c r="M18" s="436"/>
      <c r="N18" s="436"/>
      <c r="O18" s="445"/>
      <c r="P18" s="436"/>
      <c r="Q18" s="436"/>
    </row>
    <row r="19" spans="1:17" s="1" customFormat="1" ht="59.25" customHeight="1" x14ac:dyDescent="0.25">
      <c r="A19" s="125"/>
      <c r="B19" s="391" t="s">
        <v>1839</v>
      </c>
      <c r="C19" s="397" t="s">
        <v>53</v>
      </c>
      <c r="D19" s="397" t="s">
        <v>54</v>
      </c>
      <c r="E19" s="113"/>
      <c r="F19" s="72"/>
      <c r="G19" s="40">
        <v>5899</v>
      </c>
      <c r="H19" s="41">
        <v>40780</v>
      </c>
      <c r="I19" s="42">
        <f>J19</f>
        <v>125000</v>
      </c>
      <c r="J19" s="42">
        <v>125000</v>
      </c>
      <c r="K19" s="43" t="s">
        <v>65</v>
      </c>
      <c r="L19" s="44">
        <v>41004</v>
      </c>
      <c r="M19" s="42">
        <f>N19</f>
        <v>125000</v>
      </c>
      <c r="N19" s="42">
        <v>125000</v>
      </c>
      <c r="O19" s="84" t="s">
        <v>2145</v>
      </c>
      <c r="P19" s="42">
        <f>M19</f>
        <v>125000</v>
      </c>
      <c r="Q19" s="42">
        <f>N19</f>
        <v>125000</v>
      </c>
    </row>
    <row r="20" spans="1:17" s="1" customFormat="1" ht="17.25" customHeight="1" x14ac:dyDescent="0.25">
      <c r="A20" s="125"/>
      <c r="B20" s="392"/>
      <c r="C20" s="399"/>
      <c r="D20" s="399"/>
      <c r="E20" s="113"/>
      <c r="F20" s="72"/>
      <c r="G20" s="40">
        <v>7053</v>
      </c>
      <c r="H20" s="41">
        <v>41162</v>
      </c>
      <c r="I20" s="42">
        <f t="shared" ref="I20:I33" si="0">J20</f>
        <v>125000</v>
      </c>
      <c r="J20" s="42">
        <v>125000</v>
      </c>
      <c r="K20" s="43" t="s">
        <v>65</v>
      </c>
      <c r="L20" s="49">
        <v>41004</v>
      </c>
      <c r="M20" s="42">
        <f t="shared" ref="M20:M33" si="1">N20</f>
        <v>125000</v>
      </c>
      <c r="N20" s="42">
        <v>125000</v>
      </c>
      <c r="O20" s="36"/>
      <c r="P20" s="42">
        <f t="shared" ref="P20:P91" si="2">M20</f>
        <v>125000</v>
      </c>
      <c r="Q20" s="42">
        <f t="shared" ref="Q20:Q91" si="3">N20</f>
        <v>125000</v>
      </c>
    </row>
    <row r="21" spans="1:17" s="1" customFormat="1" ht="14.25" customHeight="1" x14ac:dyDescent="0.25">
      <c r="A21" s="125"/>
      <c r="B21" s="392"/>
      <c r="C21" s="397" t="s">
        <v>55</v>
      </c>
      <c r="D21" s="397" t="s">
        <v>56</v>
      </c>
      <c r="E21" s="113"/>
      <c r="F21" s="72"/>
      <c r="G21" s="40">
        <v>4765</v>
      </c>
      <c r="H21" s="41">
        <v>41075</v>
      </c>
      <c r="I21" s="42">
        <f t="shared" si="0"/>
        <v>85000</v>
      </c>
      <c r="J21" s="42">
        <v>85000</v>
      </c>
      <c r="K21" s="43" t="s">
        <v>66</v>
      </c>
      <c r="L21" s="49">
        <v>40941</v>
      </c>
      <c r="M21" s="42">
        <f>N21/1.18</f>
        <v>72033.898305084746</v>
      </c>
      <c r="N21" s="42">
        <v>85000</v>
      </c>
      <c r="O21" s="36"/>
      <c r="P21" s="42">
        <f t="shared" si="2"/>
        <v>72033.898305084746</v>
      </c>
      <c r="Q21" s="42">
        <f t="shared" si="3"/>
        <v>85000</v>
      </c>
    </row>
    <row r="22" spans="1:17" s="1" customFormat="1" ht="14.25" customHeight="1" x14ac:dyDescent="0.25">
      <c r="A22" s="125"/>
      <c r="B22" s="392"/>
      <c r="C22" s="399"/>
      <c r="D22" s="399"/>
      <c r="E22" s="113"/>
      <c r="F22" s="72"/>
      <c r="G22" s="40">
        <v>10004</v>
      </c>
      <c r="H22" s="41">
        <v>40905</v>
      </c>
      <c r="I22" s="42">
        <f t="shared" si="0"/>
        <v>95000</v>
      </c>
      <c r="J22" s="42">
        <v>95000</v>
      </c>
      <c r="K22" s="43" t="s">
        <v>66</v>
      </c>
      <c r="L22" s="49">
        <v>40941</v>
      </c>
      <c r="M22" s="42">
        <f>N22/1.18</f>
        <v>80508.474576271197</v>
      </c>
      <c r="N22" s="42">
        <v>95000</v>
      </c>
      <c r="O22" s="36"/>
      <c r="P22" s="42">
        <f t="shared" si="2"/>
        <v>80508.474576271197</v>
      </c>
      <c r="Q22" s="42">
        <f t="shared" si="3"/>
        <v>95000</v>
      </c>
    </row>
    <row r="23" spans="1:17" s="1" customFormat="1" ht="14.25" customHeight="1" x14ac:dyDescent="0.25">
      <c r="A23" s="125"/>
      <c r="B23" s="392"/>
      <c r="C23" s="397" t="s">
        <v>57</v>
      </c>
      <c r="D23" s="400">
        <v>41536</v>
      </c>
      <c r="E23" s="113"/>
      <c r="F23" s="72"/>
      <c r="G23" s="40">
        <v>7600</v>
      </c>
      <c r="H23" s="41">
        <v>41555</v>
      </c>
      <c r="I23" s="42">
        <f t="shared" si="0"/>
        <v>50000</v>
      </c>
      <c r="J23" s="42">
        <v>50000</v>
      </c>
      <c r="K23" s="43" t="s">
        <v>67</v>
      </c>
      <c r="L23" s="49">
        <v>41843</v>
      </c>
      <c r="M23" s="42">
        <f t="shared" si="1"/>
        <v>50000</v>
      </c>
      <c r="N23" s="42">
        <v>50000</v>
      </c>
      <c r="O23" s="36"/>
      <c r="P23" s="42">
        <f t="shared" si="2"/>
        <v>50000</v>
      </c>
      <c r="Q23" s="42">
        <f t="shared" si="3"/>
        <v>50000</v>
      </c>
    </row>
    <row r="24" spans="1:17" s="1" customFormat="1" ht="14.25" customHeight="1" x14ac:dyDescent="0.25">
      <c r="A24" s="125"/>
      <c r="B24" s="392"/>
      <c r="C24" s="398"/>
      <c r="D24" s="437"/>
      <c r="E24" s="113"/>
      <c r="F24" s="72"/>
      <c r="G24" s="40">
        <v>9826</v>
      </c>
      <c r="H24" s="41">
        <v>41627</v>
      </c>
      <c r="I24" s="42">
        <f t="shared" si="0"/>
        <v>192500</v>
      </c>
      <c r="J24" s="42">
        <v>192500</v>
      </c>
      <c r="K24" s="43" t="s">
        <v>67</v>
      </c>
      <c r="L24" s="49">
        <v>41843</v>
      </c>
      <c r="M24" s="42">
        <f t="shared" si="1"/>
        <v>192500</v>
      </c>
      <c r="N24" s="42">
        <v>192500</v>
      </c>
      <c r="O24" s="36"/>
      <c r="P24" s="42">
        <f t="shared" si="2"/>
        <v>192500</v>
      </c>
      <c r="Q24" s="42">
        <f t="shared" si="3"/>
        <v>192500</v>
      </c>
    </row>
    <row r="25" spans="1:17" s="1" customFormat="1" ht="14.25" customHeight="1" x14ac:dyDescent="0.25">
      <c r="A25" s="125"/>
      <c r="B25" s="392"/>
      <c r="C25" s="398"/>
      <c r="D25" s="437"/>
      <c r="E25" s="113"/>
      <c r="F25" s="72"/>
      <c r="G25" s="40">
        <v>10096</v>
      </c>
      <c r="H25" s="41">
        <v>41638</v>
      </c>
      <c r="I25" s="42">
        <f t="shared" si="0"/>
        <v>50000</v>
      </c>
      <c r="J25" s="42">
        <v>50000</v>
      </c>
      <c r="K25" s="43" t="s">
        <v>67</v>
      </c>
      <c r="L25" s="49">
        <v>41843</v>
      </c>
      <c r="M25" s="42">
        <f t="shared" si="1"/>
        <v>50000</v>
      </c>
      <c r="N25" s="42">
        <v>50000</v>
      </c>
      <c r="O25" s="36"/>
      <c r="P25" s="42">
        <f t="shared" si="2"/>
        <v>50000</v>
      </c>
      <c r="Q25" s="42">
        <f t="shared" si="3"/>
        <v>50000</v>
      </c>
    </row>
    <row r="26" spans="1:17" s="1" customFormat="1" ht="14.25" customHeight="1" x14ac:dyDescent="0.25">
      <c r="A26" s="125"/>
      <c r="B26" s="392"/>
      <c r="C26" s="398"/>
      <c r="D26" s="437"/>
      <c r="E26" s="113"/>
      <c r="F26" s="72"/>
      <c r="G26" s="40">
        <v>3864</v>
      </c>
      <c r="H26" s="41">
        <v>41778</v>
      </c>
      <c r="I26" s="42">
        <f t="shared" si="0"/>
        <v>100000</v>
      </c>
      <c r="J26" s="42">
        <v>100000</v>
      </c>
      <c r="K26" s="43" t="s">
        <v>67</v>
      </c>
      <c r="L26" s="49">
        <v>41843</v>
      </c>
      <c r="M26" s="42">
        <f t="shared" si="1"/>
        <v>100000</v>
      </c>
      <c r="N26" s="42">
        <v>100000</v>
      </c>
      <c r="O26" s="36"/>
      <c r="P26" s="42">
        <f t="shared" si="2"/>
        <v>100000</v>
      </c>
      <c r="Q26" s="42">
        <f t="shared" si="3"/>
        <v>100000</v>
      </c>
    </row>
    <row r="27" spans="1:17" s="1" customFormat="1" ht="14.25" customHeight="1" x14ac:dyDescent="0.25">
      <c r="A27" s="125"/>
      <c r="B27" s="392"/>
      <c r="C27" s="399"/>
      <c r="D27" s="401"/>
      <c r="E27" s="113"/>
      <c r="F27" s="72"/>
      <c r="G27" s="40">
        <v>4963</v>
      </c>
      <c r="H27" s="41">
        <v>41814</v>
      </c>
      <c r="I27" s="42">
        <f t="shared" si="0"/>
        <v>192500</v>
      </c>
      <c r="J27" s="42">
        <v>192500</v>
      </c>
      <c r="K27" s="43" t="s">
        <v>67</v>
      </c>
      <c r="L27" s="49">
        <v>41843</v>
      </c>
      <c r="M27" s="42">
        <f t="shared" si="1"/>
        <v>192500</v>
      </c>
      <c r="N27" s="42">
        <v>192500</v>
      </c>
      <c r="O27" s="36"/>
      <c r="P27" s="42">
        <f t="shared" si="2"/>
        <v>192500</v>
      </c>
      <c r="Q27" s="42">
        <f t="shared" si="3"/>
        <v>192500</v>
      </c>
    </row>
    <row r="28" spans="1:17" s="1" customFormat="1" ht="14.25" customHeight="1" x14ac:dyDescent="0.25">
      <c r="A28" s="125"/>
      <c r="B28" s="392"/>
      <c r="C28" s="397" t="s">
        <v>58</v>
      </c>
      <c r="D28" s="400">
        <v>41536</v>
      </c>
      <c r="E28" s="113"/>
      <c r="F28" s="72"/>
      <c r="G28" s="40">
        <v>632</v>
      </c>
      <c r="H28" s="41">
        <v>41670</v>
      </c>
      <c r="I28" s="42">
        <f t="shared" si="0"/>
        <v>121000</v>
      </c>
      <c r="J28" s="42">
        <v>121000</v>
      </c>
      <c r="K28" s="50" t="s">
        <v>68</v>
      </c>
      <c r="L28" s="49">
        <v>41913</v>
      </c>
      <c r="M28" s="42">
        <f t="shared" si="1"/>
        <v>102542.37288135594</v>
      </c>
      <c r="N28" s="42">
        <v>102542.37288135594</v>
      </c>
      <c r="O28" s="36"/>
      <c r="P28" s="42">
        <f t="shared" si="2"/>
        <v>102542.37288135594</v>
      </c>
      <c r="Q28" s="42">
        <f t="shared" si="3"/>
        <v>102542.37288135594</v>
      </c>
    </row>
    <row r="29" spans="1:17" s="1" customFormat="1" ht="14.25" customHeight="1" x14ac:dyDescent="0.25">
      <c r="A29" s="125"/>
      <c r="B29" s="392"/>
      <c r="C29" s="398"/>
      <c r="D29" s="437"/>
      <c r="E29" s="113"/>
      <c r="F29" s="72"/>
      <c r="G29" s="40">
        <v>2367</v>
      </c>
      <c r="H29" s="41">
        <v>41729</v>
      </c>
      <c r="I29" s="42">
        <f t="shared" si="0"/>
        <v>100000</v>
      </c>
      <c r="J29" s="42">
        <v>100000</v>
      </c>
      <c r="K29" s="50" t="s">
        <v>68</v>
      </c>
      <c r="L29" s="49">
        <v>41913</v>
      </c>
      <c r="M29" s="42">
        <f t="shared" si="1"/>
        <v>84745.762711864416</v>
      </c>
      <c r="N29" s="42">
        <v>84745.762711864416</v>
      </c>
      <c r="O29" s="36"/>
      <c r="P29" s="42">
        <f t="shared" si="2"/>
        <v>84745.762711864416</v>
      </c>
      <c r="Q29" s="42">
        <f t="shared" si="3"/>
        <v>84745.762711864416</v>
      </c>
    </row>
    <row r="30" spans="1:17" s="1" customFormat="1" ht="14.25" customHeight="1" x14ac:dyDescent="0.25">
      <c r="A30" s="125"/>
      <c r="B30" s="392"/>
      <c r="C30" s="399"/>
      <c r="D30" s="401"/>
      <c r="E30" s="113"/>
      <c r="F30" s="72"/>
      <c r="G30" s="40">
        <v>7135</v>
      </c>
      <c r="H30" s="41">
        <v>41540</v>
      </c>
      <c r="I30" s="42">
        <f t="shared" si="0"/>
        <v>221000</v>
      </c>
      <c r="J30" s="42">
        <v>221000</v>
      </c>
      <c r="K30" s="50" t="s">
        <v>68</v>
      </c>
      <c r="L30" s="49">
        <v>41913</v>
      </c>
      <c r="M30" s="42">
        <f t="shared" si="1"/>
        <v>187288.13559322036</v>
      </c>
      <c r="N30" s="42">
        <v>187288.13559322036</v>
      </c>
      <c r="O30" s="36"/>
      <c r="P30" s="42">
        <f t="shared" si="2"/>
        <v>187288.13559322036</v>
      </c>
      <c r="Q30" s="42">
        <f t="shared" si="3"/>
        <v>187288.13559322036</v>
      </c>
    </row>
    <row r="31" spans="1:17" s="1" customFormat="1" ht="14.25" customHeight="1" x14ac:dyDescent="0.25">
      <c r="A31" s="125"/>
      <c r="B31" s="392"/>
      <c r="C31" s="128" t="s">
        <v>59</v>
      </c>
      <c r="D31" s="129">
        <v>41536</v>
      </c>
      <c r="E31" s="113"/>
      <c r="F31" s="72"/>
      <c r="G31" s="40">
        <v>7135</v>
      </c>
      <c r="H31" s="51">
        <v>41540</v>
      </c>
      <c r="I31" s="42">
        <f t="shared" si="0"/>
        <v>101500</v>
      </c>
      <c r="J31" s="42">
        <v>101500</v>
      </c>
      <c r="K31" s="50" t="s">
        <v>69</v>
      </c>
      <c r="L31" s="49">
        <v>41633</v>
      </c>
      <c r="M31" s="42">
        <f t="shared" si="1"/>
        <v>25000</v>
      </c>
      <c r="N31" s="42">
        <v>25000</v>
      </c>
      <c r="O31" s="36"/>
      <c r="P31" s="42">
        <f t="shared" si="2"/>
        <v>25000</v>
      </c>
      <c r="Q31" s="42">
        <f t="shared" si="3"/>
        <v>25000</v>
      </c>
    </row>
    <row r="32" spans="1:17" s="1" customFormat="1" ht="14.25" customHeight="1" x14ac:dyDescent="0.25">
      <c r="A32" s="125"/>
      <c r="B32" s="392"/>
      <c r="C32" s="397" t="s">
        <v>70</v>
      </c>
      <c r="D32" s="400">
        <v>41634</v>
      </c>
      <c r="E32" s="113"/>
      <c r="F32" s="72"/>
      <c r="G32" s="40">
        <v>2608</v>
      </c>
      <c r="H32" s="51">
        <v>41733</v>
      </c>
      <c r="I32" s="42">
        <f t="shared" si="0"/>
        <v>80000</v>
      </c>
      <c r="J32" s="42">
        <v>80000</v>
      </c>
      <c r="K32" s="50" t="s">
        <v>71</v>
      </c>
      <c r="L32" s="49">
        <v>41913</v>
      </c>
      <c r="M32" s="42">
        <f t="shared" si="1"/>
        <v>80000</v>
      </c>
      <c r="N32" s="42">
        <v>80000</v>
      </c>
      <c r="O32" s="36"/>
      <c r="P32" s="42">
        <f t="shared" si="2"/>
        <v>80000</v>
      </c>
      <c r="Q32" s="42">
        <f t="shared" si="3"/>
        <v>80000</v>
      </c>
    </row>
    <row r="33" spans="1:18" s="1" customFormat="1" ht="14.25" customHeight="1" x14ac:dyDescent="0.25">
      <c r="A33" s="125"/>
      <c r="B33" s="392"/>
      <c r="C33" s="399"/>
      <c r="D33" s="401"/>
      <c r="E33" s="113"/>
      <c r="F33" s="72"/>
      <c r="G33" s="40">
        <v>7294</v>
      </c>
      <c r="H33" s="51">
        <v>41879</v>
      </c>
      <c r="I33" s="42">
        <f t="shared" si="0"/>
        <v>80000</v>
      </c>
      <c r="J33" s="42">
        <v>80000</v>
      </c>
      <c r="K33" s="50" t="s">
        <v>71</v>
      </c>
      <c r="L33" s="49">
        <v>41913</v>
      </c>
      <c r="M33" s="42">
        <f t="shared" si="1"/>
        <v>80000</v>
      </c>
      <c r="N33" s="42">
        <v>80000</v>
      </c>
      <c r="O33" s="36"/>
      <c r="P33" s="42">
        <f t="shared" si="2"/>
        <v>80000</v>
      </c>
      <c r="Q33" s="42">
        <f t="shared" si="3"/>
        <v>80000</v>
      </c>
    </row>
    <row r="34" spans="1:18" s="1" customFormat="1" ht="14.25" customHeight="1" x14ac:dyDescent="0.25">
      <c r="A34" s="125"/>
      <c r="B34" s="392"/>
      <c r="C34" s="397" t="s">
        <v>60</v>
      </c>
      <c r="D34" s="400">
        <v>41634</v>
      </c>
      <c r="E34" s="113"/>
      <c r="F34" s="72"/>
      <c r="G34" s="40" t="s">
        <v>72</v>
      </c>
      <c r="H34" s="41">
        <v>41733</v>
      </c>
      <c r="I34" s="42">
        <v>25000</v>
      </c>
      <c r="J34" s="42">
        <v>25000</v>
      </c>
      <c r="K34" s="43" t="s">
        <v>73</v>
      </c>
      <c r="L34" s="49">
        <v>41743</v>
      </c>
      <c r="M34" s="42">
        <f>N34</f>
        <v>21186.440677966104</v>
      </c>
      <c r="N34" s="42">
        <f t="shared" ref="N34:N37" si="4">I34/1.18</f>
        <v>21186.440677966104</v>
      </c>
      <c r="O34" s="36"/>
      <c r="P34" s="42">
        <f t="shared" si="2"/>
        <v>21186.440677966104</v>
      </c>
      <c r="Q34" s="42">
        <f t="shared" si="3"/>
        <v>21186.440677966104</v>
      </c>
    </row>
    <row r="35" spans="1:18" s="1" customFormat="1" ht="14.25" customHeight="1" x14ac:dyDescent="0.25">
      <c r="A35" s="125"/>
      <c r="B35" s="392"/>
      <c r="C35" s="399"/>
      <c r="D35" s="401"/>
      <c r="E35" s="113"/>
      <c r="F35" s="72"/>
      <c r="G35" s="40">
        <v>8760</v>
      </c>
      <c r="H35" s="41">
        <v>41925</v>
      </c>
      <c r="I35" s="42">
        <v>25000</v>
      </c>
      <c r="J35" s="42">
        <v>25000</v>
      </c>
      <c r="K35" s="43" t="s">
        <v>73</v>
      </c>
      <c r="L35" s="49">
        <v>41743</v>
      </c>
      <c r="M35" s="42">
        <f>N35</f>
        <v>21186.440677966104</v>
      </c>
      <c r="N35" s="42">
        <f t="shared" si="4"/>
        <v>21186.440677966104</v>
      </c>
      <c r="O35" s="36"/>
      <c r="P35" s="42">
        <f t="shared" si="2"/>
        <v>21186.440677966104</v>
      </c>
      <c r="Q35" s="42">
        <f t="shared" si="3"/>
        <v>21186.440677966104</v>
      </c>
    </row>
    <row r="36" spans="1:18" s="1" customFormat="1" ht="14.25" customHeight="1" x14ac:dyDescent="0.25">
      <c r="A36" s="125"/>
      <c r="B36" s="392"/>
      <c r="C36" s="397" t="s">
        <v>61</v>
      </c>
      <c r="D36" s="400">
        <v>41634</v>
      </c>
      <c r="E36" s="113"/>
      <c r="F36" s="72"/>
      <c r="G36" s="40">
        <v>2609</v>
      </c>
      <c r="H36" s="41">
        <v>41733</v>
      </c>
      <c r="I36" s="42">
        <v>20000</v>
      </c>
      <c r="J36" s="42">
        <v>20000</v>
      </c>
      <c r="K36" s="50" t="s">
        <v>74</v>
      </c>
      <c r="L36" s="49">
        <v>41913</v>
      </c>
      <c r="M36" s="42">
        <f>N36</f>
        <v>16949.152542372882</v>
      </c>
      <c r="N36" s="42">
        <f t="shared" si="4"/>
        <v>16949.152542372882</v>
      </c>
      <c r="O36" s="36"/>
      <c r="P36" s="42">
        <f t="shared" si="2"/>
        <v>16949.152542372882</v>
      </c>
      <c r="Q36" s="42">
        <f t="shared" si="3"/>
        <v>16949.152542372882</v>
      </c>
    </row>
    <row r="37" spans="1:18" s="1" customFormat="1" ht="14.25" customHeight="1" x14ac:dyDescent="0.25">
      <c r="A37" s="125"/>
      <c r="B37" s="392"/>
      <c r="C37" s="399"/>
      <c r="D37" s="401"/>
      <c r="E37" s="113"/>
      <c r="F37" s="72"/>
      <c r="G37" s="40">
        <v>8761</v>
      </c>
      <c r="H37" s="41">
        <v>41925</v>
      </c>
      <c r="I37" s="42">
        <v>20000</v>
      </c>
      <c r="J37" s="42">
        <v>20000</v>
      </c>
      <c r="K37" s="50" t="s">
        <v>74</v>
      </c>
      <c r="L37" s="49">
        <v>41913</v>
      </c>
      <c r="M37" s="42">
        <f>N37</f>
        <v>16949.152542372882</v>
      </c>
      <c r="N37" s="42">
        <f t="shared" si="4"/>
        <v>16949.152542372882</v>
      </c>
      <c r="O37" s="36"/>
      <c r="P37" s="42">
        <f t="shared" si="2"/>
        <v>16949.152542372882</v>
      </c>
      <c r="Q37" s="42">
        <f t="shared" si="3"/>
        <v>16949.152542372882</v>
      </c>
    </row>
    <row r="38" spans="1:18" s="1" customFormat="1" ht="14.25" customHeight="1" x14ac:dyDescent="0.25">
      <c r="A38" s="125"/>
      <c r="B38" s="392"/>
      <c r="C38" s="397" t="s">
        <v>62</v>
      </c>
      <c r="D38" s="400">
        <v>41883</v>
      </c>
      <c r="E38" s="113"/>
      <c r="F38" s="72"/>
      <c r="G38" s="40">
        <v>8317</v>
      </c>
      <c r="H38" s="41">
        <v>41908</v>
      </c>
      <c r="I38" s="42">
        <v>80000</v>
      </c>
      <c r="J38" s="42">
        <v>80000</v>
      </c>
      <c r="K38" s="43" t="s">
        <v>75</v>
      </c>
      <c r="L38" s="49">
        <v>41912</v>
      </c>
      <c r="M38" s="42">
        <v>80000</v>
      </c>
      <c r="N38" s="42">
        <f>I38</f>
        <v>80000</v>
      </c>
      <c r="O38" s="36"/>
      <c r="P38" s="42">
        <f t="shared" si="2"/>
        <v>80000</v>
      </c>
      <c r="Q38" s="42">
        <f t="shared" si="3"/>
        <v>80000</v>
      </c>
    </row>
    <row r="39" spans="1:18" s="1" customFormat="1" ht="14.25" customHeight="1" x14ac:dyDescent="0.25">
      <c r="A39" s="125"/>
      <c r="B39" s="392"/>
      <c r="C39" s="399"/>
      <c r="D39" s="401"/>
      <c r="E39" s="113"/>
      <c r="F39" s="72"/>
      <c r="G39" s="40">
        <v>8412</v>
      </c>
      <c r="H39" s="41">
        <v>41913</v>
      </c>
      <c r="I39" s="42">
        <v>80000</v>
      </c>
      <c r="J39" s="42">
        <v>80000</v>
      </c>
      <c r="K39" s="43" t="s">
        <v>75</v>
      </c>
      <c r="L39" s="49">
        <v>41912</v>
      </c>
      <c r="M39" s="42">
        <v>80000</v>
      </c>
      <c r="N39" s="42">
        <f>I39</f>
        <v>80000</v>
      </c>
      <c r="O39" s="36"/>
      <c r="P39" s="42">
        <f t="shared" si="2"/>
        <v>80000</v>
      </c>
      <c r="Q39" s="42">
        <f t="shared" si="3"/>
        <v>80000</v>
      </c>
    </row>
    <row r="40" spans="1:18" s="1" customFormat="1" ht="14.25" customHeight="1" x14ac:dyDescent="0.25">
      <c r="A40" s="125"/>
      <c r="B40" s="392"/>
      <c r="C40" s="397" t="s">
        <v>63</v>
      </c>
      <c r="D40" s="394" t="s">
        <v>64</v>
      </c>
      <c r="E40" s="113"/>
      <c r="F40" s="72"/>
      <c r="G40" s="40">
        <v>8421</v>
      </c>
      <c r="H40" s="41">
        <v>41912</v>
      </c>
      <c r="I40" s="42">
        <v>70000</v>
      </c>
      <c r="J40" s="42">
        <v>70000</v>
      </c>
      <c r="K40" s="43" t="s">
        <v>76</v>
      </c>
      <c r="L40" s="49">
        <v>41759</v>
      </c>
      <c r="M40" s="42">
        <v>59322.03389830509</v>
      </c>
      <c r="N40" s="42">
        <v>59322.03389830509</v>
      </c>
      <c r="O40" s="42"/>
      <c r="P40" s="42">
        <f t="shared" si="2"/>
        <v>59322.03389830509</v>
      </c>
      <c r="Q40" s="42">
        <f t="shared" si="3"/>
        <v>59322.03389830509</v>
      </c>
    </row>
    <row r="41" spans="1:18" s="1" customFormat="1" ht="14.25" customHeight="1" x14ac:dyDescent="0.25">
      <c r="A41" s="125"/>
      <c r="B41" s="393"/>
      <c r="C41" s="399"/>
      <c r="D41" s="396"/>
      <c r="E41" s="113"/>
      <c r="F41" s="72"/>
      <c r="G41" s="40">
        <v>588</v>
      </c>
      <c r="H41" s="41">
        <v>42033</v>
      </c>
      <c r="I41" s="42">
        <v>70000</v>
      </c>
      <c r="J41" s="42">
        <v>70000</v>
      </c>
      <c r="K41" s="43" t="s">
        <v>77</v>
      </c>
      <c r="L41" s="49">
        <v>41912</v>
      </c>
      <c r="M41" s="42">
        <v>59322.03389830509</v>
      </c>
      <c r="N41" s="42">
        <v>59322.03389830509</v>
      </c>
      <c r="O41" s="42"/>
      <c r="P41" s="42">
        <f t="shared" si="2"/>
        <v>59322.03389830509</v>
      </c>
      <c r="Q41" s="42">
        <f t="shared" si="3"/>
        <v>59322.03389830509</v>
      </c>
    </row>
    <row r="42" spans="1:18" s="1" customFormat="1" ht="48.75" customHeight="1" x14ac:dyDescent="0.25">
      <c r="A42" s="125"/>
      <c r="B42" s="130" t="s">
        <v>1840</v>
      </c>
      <c r="C42" s="88" t="s">
        <v>78</v>
      </c>
      <c r="D42" s="113" t="s">
        <v>79</v>
      </c>
      <c r="E42" s="113"/>
      <c r="F42" s="72"/>
      <c r="G42" s="40">
        <v>3796</v>
      </c>
      <c r="H42" s="41">
        <v>41424</v>
      </c>
      <c r="I42" s="42">
        <v>57000</v>
      </c>
      <c r="J42" s="42">
        <v>57000</v>
      </c>
      <c r="K42" s="43" t="s">
        <v>80</v>
      </c>
      <c r="L42" s="52">
        <v>41572</v>
      </c>
      <c r="M42" s="42">
        <v>57000</v>
      </c>
      <c r="N42" s="42">
        <v>57000</v>
      </c>
      <c r="O42" s="42"/>
      <c r="P42" s="42">
        <f t="shared" si="2"/>
        <v>57000</v>
      </c>
      <c r="Q42" s="42">
        <f t="shared" si="3"/>
        <v>57000</v>
      </c>
    </row>
    <row r="43" spans="1:18" s="1" customFormat="1" ht="43.5" customHeight="1" x14ac:dyDescent="0.25">
      <c r="A43" s="17"/>
      <c r="B43" s="11" t="s">
        <v>1841</v>
      </c>
      <c r="C43" s="37" t="s">
        <v>527</v>
      </c>
      <c r="D43" s="38" t="s">
        <v>526</v>
      </c>
      <c r="E43" s="38"/>
      <c r="F43" s="72"/>
      <c r="G43" s="85" t="s">
        <v>147</v>
      </c>
      <c r="H43" s="86" t="s">
        <v>148</v>
      </c>
      <c r="I43" s="87">
        <v>47460</v>
      </c>
      <c r="J43" s="87">
        <v>47640</v>
      </c>
      <c r="K43" s="72"/>
      <c r="L43" s="72"/>
      <c r="M43" s="82">
        <v>47460</v>
      </c>
      <c r="N43" s="82">
        <v>47640</v>
      </c>
      <c r="O43" s="36" t="s">
        <v>2133</v>
      </c>
      <c r="P43" s="42">
        <f t="shared" si="2"/>
        <v>47460</v>
      </c>
      <c r="Q43" s="42">
        <f t="shared" si="3"/>
        <v>47640</v>
      </c>
      <c r="R43" s="133" t="s">
        <v>2147</v>
      </c>
    </row>
    <row r="44" spans="1:18" s="1" customFormat="1" ht="129" customHeight="1" x14ac:dyDescent="0.25">
      <c r="A44" s="17"/>
      <c r="B44" s="11" t="s">
        <v>1842</v>
      </c>
      <c r="C44" s="37" t="s">
        <v>149</v>
      </c>
      <c r="D44" s="38" t="s">
        <v>528</v>
      </c>
      <c r="E44" s="38"/>
      <c r="F44" s="72"/>
      <c r="G44" s="88" t="s">
        <v>150</v>
      </c>
      <c r="H44" s="89" t="s">
        <v>151</v>
      </c>
      <c r="I44" s="90">
        <v>99548</v>
      </c>
      <c r="J44" s="90">
        <v>99548</v>
      </c>
      <c r="K44" s="72"/>
      <c r="L44" s="72"/>
      <c r="M44" s="82">
        <v>99548</v>
      </c>
      <c r="N44" s="82">
        <v>99548</v>
      </c>
      <c r="O44" s="36" t="s">
        <v>2133</v>
      </c>
      <c r="P44" s="42">
        <f t="shared" si="2"/>
        <v>99548</v>
      </c>
      <c r="Q44" s="42">
        <f t="shared" si="3"/>
        <v>99548</v>
      </c>
      <c r="R44" s="133" t="s">
        <v>2148</v>
      </c>
    </row>
    <row r="45" spans="1:18" s="1" customFormat="1" ht="110.25" customHeight="1" x14ac:dyDescent="0.25">
      <c r="A45" s="17"/>
      <c r="B45" s="11" t="s">
        <v>1843</v>
      </c>
      <c r="C45" s="37" t="s">
        <v>530</v>
      </c>
      <c r="D45" s="38" t="s">
        <v>529</v>
      </c>
      <c r="E45" s="38"/>
      <c r="F45" s="72"/>
      <c r="G45" s="85" t="s">
        <v>152</v>
      </c>
      <c r="H45" s="86" t="s">
        <v>157</v>
      </c>
      <c r="I45" s="87">
        <v>225556</v>
      </c>
      <c r="J45" s="87">
        <v>225556</v>
      </c>
      <c r="K45" s="37"/>
      <c r="L45" s="37"/>
      <c r="M45" s="42">
        <v>225556</v>
      </c>
      <c r="N45" s="42">
        <v>225556</v>
      </c>
      <c r="O45" s="36"/>
      <c r="P45" s="42">
        <f t="shared" si="2"/>
        <v>225556</v>
      </c>
      <c r="Q45" s="42">
        <f t="shared" si="3"/>
        <v>225556</v>
      </c>
    </row>
    <row r="46" spans="1:18" s="1" customFormat="1" ht="123" customHeight="1" x14ac:dyDescent="0.25">
      <c r="A46" s="17"/>
      <c r="B46" s="11" t="s">
        <v>1843</v>
      </c>
      <c r="C46" s="37" t="s">
        <v>1773</v>
      </c>
      <c r="D46" s="38" t="s">
        <v>162</v>
      </c>
      <c r="E46" s="38"/>
      <c r="F46" s="72"/>
      <c r="G46" s="34">
        <v>3051</v>
      </c>
      <c r="H46" s="49">
        <v>42467</v>
      </c>
      <c r="I46" s="42">
        <f>J46</f>
        <v>64200.7</v>
      </c>
      <c r="J46" s="42">
        <v>64200.7</v>
      </c>
      <c r="K46" s="37"/>
      <c r="L46" s="37"/>
      <c r="M46" s="42">
        <f>N46</f>
        <v>64200.7</v>
      </c>
      <c r="N46" s="42">
        <v>64200.7</v>
      </c>
      <c r="O46" s="36"/>
      <c r="P46" s="42">
        <f>Q46</f>
        <v>64200.7</v>
      </c>
      <c r="Q46" s="42">
        <f t="shared" si="3"/>
        <v>64200.7</v>
      </c>
    </row>
    <row r="47" spans="1:18" s="1" customFormat="1" ht="51.75" customHeight="1" x14ac:dyDescent="0.25">
      <c r="A47" s="17"/>
      <c r="B47" s="80" t="s">
        <v>1844</v>
      </c>
      <c r="C47" s="72" t="s">
        <v>531</v>
      </c>
      <c r="D47" s="81" t="s">
        <v>162</v>
      </c>
      <c r="E47" s="81"/>
      <c r="F47" s="72"/>
      <c r="G47" s="88" t="s">
        <v>153</v>
      </c>
      <c r="H47" s="89" t="s">
        <v>158</v>
      </c>
      <c r="I47" s="90">
        <v>53701</v>
      </c>
      <c r="J47" s="90">
        <v>53701</v>
      </c>
      <c r="K47" s="72"/>
      <c r="L47" s="72"/>
      <c r="M47" s="82">
        <v>53701</v>
      </c>
      <c r="N47" s="82">
        <v>53701</v>
      </c>
      <c r="O47" s="36" t="s">
        <v>2134</v>
      </c>
      <c r="P47" s="42">
        <f t="shared" si="2"/>
        <v>53701</v>
      </c>
      <c r="Q47" s="42">
        <f t="shared" si="3"/>
        <v>53701</v>
      </c>
    </row>
    <row r="48" spans="1:18" s="1" customFormat="1" ht="47.25" customHeight="1" x14ac:dyDescent="0.25">
      <c r="A48" s="17"/>
      <c r="B48" s="80" t="s">
        <v>1845</v>
      </c>
      <c r="C48" s="72" t="s">
        <v>532</v>
      </c>
      <c r="D48" s="81" t="s">
        <v>117</v>
      </c>
      <c r="E48" s="81"/>
      <c r="F48" s="72"/>
      <c r="G48" s="88" t="s">
        <v>154</v>
      </c>
      <c r="H48" s="89" t="s">
        <v>117</v>
      </c>
      <c r="I48" s="90">
        <f>M48</f>
        <v>217028.05084745763</v>
      </c>
      <c r="J48" s="90">
        <v>256093.1</v>
      </c>
      <c r="K48" s="72"/>
      <c r="L48" s="72"/>
      <c r="M48" s="82">
        <f>P48</f>
        <v>217028.05084745763</v>
      </c>
      <c r="N48" s="82">
        <v>256093.1</v>
      </c>
      <c r="O48" s="36"/>
      <c r="P48" s="42">
        <f>Q48/1.18</f>
        <v>217028.05084745763</v>
      </c>
      <c r="Q48" s="42">
        <f t="shared" si="3"/>
        <v>256093.1</v>
      </c>
      <c r="R48" s="133" t="s">
        <v>2149</v>
      </c>
    </row>
    <row r="49" spans="1:17" s="1" customFormat="1" ht="35.25" customHeight="1" x14ac:dyDescent="0.25">
      <c r="A49" s="17"/>
      <c r="B49" s="80" t="s">
        <v>1846</v>
      </c>
      <c r="C49" s="72" t="s">
        <v>534</v>
      </c>
      <c r="D49" s="81" t="s">
        <v>533</v>
      </c>
      <c r="E49" s="81"/>
      <c r="F49" s="72"/>
      <c r="G49" s="88" t="s">
        <v>155</v>
      </c>
      <c r="H49" s="89" t="s">
        <v>118</v>
      </c>
      <c r="I49" s="90">
        <v>20580</v>
      </c>
      <c r="J49" s="90">
        <v>20580</v>
      </c>
      <c r="K49" s="72"/>
      <c r="L49" s="72"/>
      <c r="M49" s="82">
        <v>20580</v>
      </c>
      <c r="N49" s="82">
        <v>20580</v>
      </c>
      <c r="O49" s="36"/>
      <c r="P49" s="42">
        <f t="shared" si="2"/>
        <v>20580</v>
      </c>
      <c r="Q49" s="42">
        <f t="shared" si="3"/>
        <v>20580</v>
      </c>
    </row>
    <row r="50" spans="1:17" s="1" customFormat="1" ht="35.25" customHeight="1" x14ac:dyDescent="0.25">
      <c r="A50" s="17"/>
      <c r="B50" s="80" t="s">
        <v>1847</v>
      </c>
      <c r="C50" s="72" t="s">
        <v>535</v>
      </c>
      <c r="D50" s="81" t="s">
        <v>215</v>
      </c>
      <c r="E50" s="81"/>
      <c r="F50" s="72"/>
      <c r="G50" s="88" t="s">
        <v>156</v>
      </c>
      <c r="H50" s="89" t="s">
        <v>148</v>
      </c>
      <c r="I50" s="90">
        <v>158516</v>
      </c>
      <c r="J50" s="90">
        <v>158516</v>
      </c>
      <c r="K50" s="72"/>
      <c r="L50" s="72"/>
      <c r="M50" s="82">
        <v>158516</v>
      </c>
      <c r="N50" s="82">
        <v>158516</v>
      </c>
      <c r="O50" s="36"/>
      <c r="P50" s="42">
        <f t="shared" si="2"/>
        <v>158516</v>
      </c>
      <c r="Q50" s="42">
        <f t="shared" si="3"/>
        <v>158516</v>
      </c>
    </row>
    <row r="51" spans="1:17" s="1" customFormat="1" ht="40.5" customHeight="1" x14ac:dyDescent="0.25">
      <c r="A51" s="17"/>
      <c r="B51" s="80" t="s">
        <v>1848</v>
      </c>
      <c r="C51" s="72" t="s">
        <v>537</v>
      </c>
      <c r="D51" s="81" t="s">
        <v>536</v>
      </c>
      <c r="E51" s="81"/>
      <c r="F51" s="72"/>
      <c r="G51" s="88" t="s">
        <v>170</v>
      </c>
      <c r="H51" s="89" t="s">
        <v>120</v>
      </c>
      <c r="I51" s="90">
        <v>1454410.1694915255</v>
      </c>
      <c r="J51" s="90">
        <v>1716204</v>
      </c>
      <c r="K51" s="72"/>
      <c r="L51" s="72"/>
      <c r="M51" s="82">
        <f>N51/1.18</f>
        <v>1454410.1694915255</v>
      </c>
      <c r="N51" s="82">
        <v>1716204</v>
      </c>
      <c r="O51" s="36"/>
      <c r="P51" s="42">
        <f t="shared" si="2"/>
        <v>1454410.1694915255</v>
      </c>
      <c r="Q51" s="42">
        <f t="shared" si="3"/>
        <v>1716204</v>
      </c>
    </row>
    <row r="52" spans="1:17" s="1" customFormat="1" ht="39" customHeight="1" x14ac:dyDescent="0.25">
      <c r="A52" s="17"/>
      <c r="B52" s="80" t="s">
        <v>1849</v>
      </c>
      <c r="C52" s="72" t="s">
        <v>539</v>
      </c>
      <c r="D52" s="81" t="s">
        <v>538</v>
      </c>
      <c r="E52" s="81"/>
      <c r="F52" s="72"/>
      <c r="G52" s="88" t="s">
        <v>171</v>
      </c>
      <c r="H52" s="89" t="s">
        <v>173</v>
      </c>
      <c r="I52" s="90">
        <v>832152.54237288143</v>
      </c>
      <c r="J52" s="90">
        <v>981940</v>
      </c>
      <c r="K52" s="72"/>
      <c r="L52" s="72"/>
      <c r="M52" s="82">
        <f t="shared" ref="M52:M67" si="5">N52/1.18</f>
        <v>832152.54237288143</v>
      </c>
      <c r="N52" s="82">
        <v>981940</v>
      </c>
      <c r="O52" s="36"/>
      <c r="P52" s="42">
        <f t="shared" si="2"/>
        <v>832152.54237288143</v>
      </c>
      <c r="Q52" s="42">
        <f t="shared" si="3"/>
        <v>981940</v>
      </c>
    </row>
    <row r="53" spans="1:17" s="1" customFormat="1" ht="36.75" customHeight="1" x14ac:dyDescent="0.25">
      <c r="A53" s="17"/>
      <c r="B53" s="80" t="s">
        <v>1849</v>
      </c>
      <c r="C53" s="72" t="s">
        <v>541</v>
      </c>
      <c r="D53" s="81" t="s">
        <v>540</v>
      </c>
      <c r="E53" s="81"/>
      <c r="F53" s="72"/>
      <c r="G53" s="88" t="s">
        <v>172</v>
      </c>
      <c r="H53" s="89" t="s">
        <v>174</v>
      </c>
      <c r="I53" s="90">
        <v>1059093.8983050848</v>
      </c>
      <c r="J53" s="90">
        <v>1249730.8</v>
      </c>
      <c r="K53" s="72"/>
      <c r="L53" s="72"/>
      <c r="M53" s="82">
        <f t="shared" si="5"/>
        <v>1059093.8983050848</v>
      </c>
      <c r="N53" s="82">
        <v>1249730.8</v>
      </c>
      <c r="O53" s="36"/>
      <c r="P53" s="42">
        <f t="shared" si="2"/>
        <v>1059093.8983050848</v>
      </c>
      <c r="Q53" s="42">
        <f t="shared" si="3"/>
        <v>1249730.8</v>
      </c>
    </row>
    <row r="54" spans="1:17" s="1" customFormat="1" ht="39" customHeight="1" x14ac:dyDescent="0.25">
      <c r="A54" s="17"/>
      <c r="B54" s="11" t="s">
        <v>1850</v>
      </c>
      <c r="C54" s="34">
        <v>44</v>
      </c>
      <c r="D54" s="38" t="s">
        <v>542</v>
      </c>
      <c r="E54" s="38"/>
      <c r="F54" s="72"/>
      <c r="G54" s="85" t="s">
        <v>175</v>
      </c>
      <c r="H54" s="86" t="s">
        <v>115</v>
      </c>
      <c r="I54" s="87">
        <v>338983.05084745766</v>
      </c>
      <c r="J54" s="87">
        <v>400000</v>
      </c>
      <c r="K54" s="37"/>
      <c r="L54" s="37"/>
      <c r="M54" s="42">
        <f t="shared" si="5"/>
        <v>338983.05084745766</v>
      </c>
      <c r="N54" s="42">
        <v>400000</v>
      </c>
      <c r="O54" s="36" t="s">
        <v>2137</v>
      </c>
      <c r="P54" s="42">
        <f t="shared" si="2"/>
        <v>338983.05084745766</v>
      </c>
      <c r="Q54" s="42">
        <f t="shared" si="3"/>
        <v>400000</v>
      </c>
    </row>
    <row r="55" spans="1:17" s="1" customFormat="1" ht="39" customHeight="1" x14ac:dyDescent="0.25">
      <c r="A55" s="17"/>
      <c r="B55" s="11" t="s">
        <v>1851</v>
      </c>
      <c r="C55" s="34">
        <v>68</v>
      </c>
      <c r="D55" s="38" t="s">
        <v>421</v>
      </c>
      <c r="E55" s="38"/>
      <c r="F55" s="72"/>
      <c r="G55" s="85">
        <v>51389</v>
      </c>
      <c r="H55" s="99">
        <v>42993</v>
      </c>
      <c r="I55" s="87">
        <f>M55</f>
        <v>135209.66101694916</v>
      </c>
      <c r="J55" s="87">
        <v>159547.4</v>
      </c>
      <c r="K55" s="89" t="s">
        <v>50</v>
      </c>
      <c r="L55" s="91">
        <v>42976</v>
      </c>
      <c r="M55" s="90">
        <f t="shared" si="5"/>
        <v>135209.66101694916</v>
      </c>
      <c r="N55" s="90">
        <v>159547.4</v>
      </c>
      <c r="O55" s="36"/>
      <c r="P55" s="42">
        <f t="shared" si="2"/>
        <v>135209.66101694916</v>
      </c>
      <c r="Q55" s="42">
        <f t="shared" si="3"/>
        <v>159547.4</v>
      </c>
    </row>
    <row r="56" spans="1:17" s="1" customFormat="1" ht="39.75" customHeight="1" x14ac:dyDescent="0.25">
      <c r="A56" s="17"/>
      <c r="B56" s="11" t="s">
        <v>1851</v>
      </c>
      <c r="C56" s="34">
        <v>44</v>
      </c>
      <c r="D56" s="38" t="s">
        <v>542</v>
      </c>
      <c r="E56" s="38"/>
      <c r="F56" s="72"/>
      <c r="G56" s="85" t="s">
        <v>176</v>
      </c>
      <c r="H56" s="86" t="s">
        <v>118</v>
      </c>
      <c r="I56" s="87">
        <v>244047.09322033901</v>
      </c>
      <c r="J56" s="87">
        <v>287975.57</v>
      </c>
      <c r="K56" s="37"/>
      <c r="L56" s="37"/>
      <c r="M56" s="42">
        <f t="shared" si="5"/>
        <v>244047.09322033901</v>
      </c>
      <c r="N56" s="42">
        <v>287975.57</v>
      </c>
      <c r="O56" s="36"/>
      <c r="P56" s="42">
        <f t="shared" si="2"/>
        <v>244047.09322033901</v>
      </c>
      <c r="Q56" s="42">
        <f t="shared" si="3"/>
        <v>287975.57</v>
      </c>
    </row>
    <row r="57" spans="1:17" s="1" customFormat="1" ht="39.75" customHeight="1" x14ac:dyDescent="0.25">
      <c r="A57" s="17"/>
      <c r="B57" s="11" t="s">
        <v>1851</v>
      </c>
      <c r="C57" s="34">
        <v>11</v>
      </c>
      <c r="D57" s="38" t="s">
        <v>645</v>
      </c>
      <c r="E57" s="38"/>
      <c r="F57" s="72"/>
      <c r="G57" s="85">
        <v>31635</v>
      </c>
      <c r="H57" s="99">
        <v>42858</v>
      </c>
      <c r="I57" s="87">
        <f>M57</f>
        <v>71610.169491525434</v>
      </c>
      <c r="J57" s="87">
        <v>84500</v>
      </c>
      <c r="K57" s="89" t="s">
        <v>50</v>
      </c>
      <c r="L57" s="89">
        <v>42808</v>
      </c>
      <c r="M57" s="89">
        <f t="shared" si="5"/>
        <v>71610.169491525434</v>
      </c>
      <c r="N57" s="89">
        <v>84500</v>
      </c>
      <c r="O57" s="84" t="s">
        <v>2136</v>
      </c>
      <c r="P57" s="42">
        <f t="shared" si="2"/>
        <v>71610.169491525434</v>
      </c>
      <c r="Q57" s="42">
        <f t="shared" si="3"/>
        <v>84500</v>
      </c>
    </row>
    <row r="58" spans="1:17" s="1" customFormat="1" ht="42" customHeight="1" x14ac:dyDescent="0.25">
      <c r="A58" s="100"/>
      <c r="B58" s="101" t="s">
        <v>1852</v>
      </c>
      <c r="C58" s="86" t="s">
        <v>2135</v>
      </c>
      <c r="D58" s="102" t="s">
        <v>543</v>
      </c>
      <c r="E58" s="102"/>
      <c r="F58" s="98">
        <v>3783402.79</v>
      </c>
      <c r="G58" s="85" t="s">
        <v>177</v>
      </c>
      <c r="H58" s="86" t="s">
        <v>151</v>
      </c>
      <c r="I58" s="87">
        <v>2118644.0677966103</v>
      </c>
      <c r="J58" s="87">
        <v>2500000</v>
      </c>
      <c r="K58" s="37"/>
      <c r="L58" s="37"/>
      <c r="M58" s="42">
        <f t="shared" si="5"/>
        <v>2118644.0677966103</v>
      </c>
      <c r="N58" s="42">
        <v>2500000</v>
      </c>
      <c r="O58" s="36"/>
      <c r="P58" s="42">
        <f t="shared" si="2"/>
        <v>2118644.0677966103</v>
      </c>
      <c r="Q58" s="42">
        <f t="shared" si="3"/>
        <v>2500000</v>
      </c>
    </row>
    <row r="59" spans="1:17" s="1" customFormat="1" ht="81.75" customHeight="1" x14ac:dyDescent="0.25">
      <c r="A59" s="100"/>
      <c r="B59" s="404" t="s">
        <v>1853</v>
      </c>
      <c r="C59" s="406">
        <v>25</v>
      </c>
      <c r="D59" s="408" t="s">
        <v>544</v>
      </c>
      <c r="E59" s="102"/>
      <c r="F59" s="103">
        <v>190000</v>
      </c>
      <c r="G59" s="85" t="s">
        <v>197</v>
      </c>
      <c r="H59" s="85" t="s">
        <v>202</v>
      </c>
      <c r="I59" s="105">
        <v>80508.474576271197</v>
      </c>
      <c r="J59" s="105">
        <v>95000</v>
      </c>
      <c r="K59" s="85">
        <v>52</v>
      </c>
      <c r="L59" s="104">
        <v>42662</v>
      </c>
      <c r="M59" s="105">
        <f t="shared" si="5"/>
        <v>161016.94915254239</v>
      </c>
      <c r="N59" s="105">
        <v>190000</v>
      </c>
      <c r="O59" s="36"/>
      <c r="P59" s="42">
        <f t="shared" si="2"/>
        <v>161016.94915254239</v>
      </c>
      <c r="Q59" s="42">
        <f t="shared" si="3"/>
        <v>190000</v>
      </c>
    </row>
    <row r="60" spans="1:17" s="1" customFormat="1" ht="93" customHeight="1" x14ac:dyDescent="0.25">
      <c r="A60" s="100"/>
      <c r="B60" s="405"/>
      <c r="C60" s="407"/>
      <c r="D60" s="409"/>
      <c r="E60" s="38"/>
      <c r="F60" s="37"/>
      <c r="G60" s="85" t="s">
        <v>198</v>
      </c>
      <c r="H60" s="86" t="s">
        <v>203</v>
      </c>
      <c r="I60" s="107">
        <v>80508.474576271197</v>
      </c>
      <c r="J60" s="107">
        <v>95000</v>
      </c>
      <c r="K60" s="37"/>
      <c r="L60" s="37"/>
      <c r="M60" s="42"/>
      <c r="N60" s="42"/>
      <c r="O60" s="36"/>
      <c r="P60" s="42">
        <f t="shared" si="2"/>
        <v>0</v>
      </c>
      <c r="Q60" s="42">
        <f t="shared" si="3"/>
        <v>0</v>
      </c>
    </row>
    <row r="61" spans="1:17" s="1" customFormat="1" ht="35.25" customHeight="1" x14ac:dyDescent="0.25">
      <c r="A61" s="17"/>
      <c r="B61" s="11" t="s">
        <v>1854</v>
      </c>
      <c r="C61" s="37" t="s">
        <v>546</v>
      </c>
      <c r="D61" s="38" t="s">
        <v>545</v>
      </c>
      <c r="E61" s="38"/>
      <c r="F61" s="72"/>
      <c r="G61" s="85" t="s">
        <v>199</v>
      </c>
      <c r="H61" s="86" t="s">
        <v>124</v>
      </c>
      <c r="I61" s="87">
        <v>59322.03389830509</v>
      </c>
      <c r="J61" s="87">
        <v>70000</v>
      </c>
      <c r="K61" s="37"/>
      <c r="L61" s="37"/>
      <c r="M61" s="42">
        <f t="shared" si="5"/>
        <v>59322.03389830509</v>
      </c>
      <c r="N61" s="42">
        <v>70000</v>
      </c>
      <c r="O61" s="36"/>
      <c r="P61" s="42">
        <f t="shared" si="2"/>
        <v>59322.03389830509</v>
      </c>
      <c r="Q61" s="42">
        <f t="shared" si="3"/>
        <v>70000</v>
      </c>
    </row>
    <row r="62" spans="1:17" s="1" customFormat="1" ht="38.25" customHeight="1" x14ac:dyDescent="0.25">
      <c r="A62" s="17"/>
      <c r="B62" s="11" t="s">
        <v>1855</v>
      </c>
      <c r="C62" s="37" t="s">
        <v>548</v>
      </c>
      <c r="D62" s="38" t="s">
        <v>547</v>
      </c>
      <c r="E62" s="38"/>
      <c r="F62" s="72"/>
      <c r="G62" s="85" t="s">
        <v>200</v>
      </c>
      <c r="H62" s="86" t="s">
        <v>204</v>
      </c>
      <c r="I62" s="87">
        <v>1694915.2542372881</v>
      </c>
      <c r="J62" s="87">
        <v>2000000</v>
      </c>
      <c r="K62" s="37"/>
      <c r="L62" s="37"/>
      <c r="M62" s="42">
        <f t="shared" si="5"/>
        <v>1694915.2542372881</v>
      </c>
      <c r="N62" s="42">
        <v>2000000</v>
      </c>
      <c r="O62" s="36"/>
      <c r="P62" s="42">
        <f t="shared" si="2"/>
        <v>1694915.2542372881</v>
      </c>
      <c r="Q62" s="42">
        <f t="shared" si="3"/>
        <v>2000000</v>
      </c>
    </row>
    <row r="63" spans="1:17" s="1" customFormat="1" ht="39" customHeight="1" x14ac:dyDescent="0.25">
      <c r="A63" s="17"/>
      <c r="B63" s="11" t="s">
        <v>1856</v>
      </c>
      <c r="C63" s="37" t="s">
        <v>550</v>
      </c>
      <c r="D63" s="38" t="s">
        <v>549</v>
      </c>
      <c r="E63" s="38"/>
      <c r="F63" s="72"/>
      <c r="G63" s="85" t="s">
        <v>201</v>
      </c>
      <c r="H63" s="86" t="s">
        <v>205</v>
      </c>
      <c r="I63" s="107">
        <v>756010.16949152551</v>
      </c>
      <c r="J63" s="107">
        <v>892092</v>
      </c>
      <c r="K63" s="37"/>
      <c r="L63" s="37"/>
      <c r="M63" s="42">
        <f t="shared" si="5"/>
        <v>756010.16949152551</v>
      </c>
      <c r="N63" s="42">
        <v>892092</v>
      </c>
      <c r="O63" s="36"/>
      <c r="P63" s="42">
        <f t="shared" si="2"/>
        <v>756010.16949152551</v>
      </c>
      <c r="Q63" s="42">
        <f t="shared" si="3"/>
        <v>892092</v>
      </c>
    </row>
    <row r="64" spans="1:17" s="1" customFormat="1" ht="27.75" customHeight="1" x14ac:dyDescent="0.25">
      <c r="A64" s="17"/>
      <c r="B64" s="11" t="s">
        <v>1857</v>
      </c>
      <c r="C64" s="37" t="s">
        <v>551</v>
      </c>
      <c r="D64" s="38" t="s">
        <v>543</v>
      </c>
      <c r="E64" s="38"/>
      <c r="F64" s="72"/>
      <c r="G64" s="85" t="s">
        <v>208</v>
      </c>
      <c r="H64" s="86" t="s">
        <v>123</v>
      </c>
      <c r="I64" s="87">
        <v>43783.822033898308</v>
      </c>
      <c r="J64" s="87">
        <v>51664.91</v>
      </c>
      <c r="K64" s="37"/>
      <c r="L64" s="37"/>
      <c r="M64" s="42">
        <f t="shared" si="5"/>
        <v>43783.822033898308</v>
      </c>
      <c r="N64" s="42">
        <v>51664.91</v>
      </c>
      <c r="O64" s="36"/>
      <c r="P64" s="42">
        <f t="shared" si="2"/>
        <v>43783.822033898308</v>
      </c>
      <c r="Q64" s="42">
        <f t="shared" si="3"/>
        <v>51664.91</v>
      </c>
    </row>
    <row r="65" spans="1:17" s="1" customFormat="1" ht="45.75" customHeight="1" x14ac:dyDescent="0.25">
      <c r="A65" s="17"/>
      <c r="B65" s="11" t="s">
        <v>1858</v>
      </c>
      <c r="C65" s="37" t="s">
        <v>553</v>
      </c>
      <c r="D65" s="38" t="s">
        <v>552</v>
      </c>
      <c r="E65" s="38"/>
      <c r="F65" s="72"/>
      <c r="G65" s="85" t="s">
        <v>209</v>
      </c>
      <c r="H65" s="86" t="s">
        <v>165</v>
      </c>
      <c r="I65" s="87">
        <v>60935.593220338989</v>
      </c>
      <c r="J65" s="87">
        <v>71904</v>
      </c>
      <c r="K65" s="37"/>
      <c r="L65" s="37"/>
      <c r="M65" s="42">
        <f t="shared" si="5"/>
        <v>60935.593220338989</v>
      </c>
      <c r="N65" s="42">
        <v>71904</v>
      </c>
      <c r="O65" s="36"/>
      <c r="P65" s="42">
        <f t="shared" si="2"/>
        <v>60935.593220338989</v>
      </c>
      <c r="Q65" s="42">
        <f t="shared" si="3"/>
        <v>71904</v>
      </c>
    </row>
    <row r="66" spans="1:17" s="1" customFormat="1" ht="44.25" customHeight="1" x14ac:dyDescent="0.25">
      <c r="A66" s="17"/>
      <c r="B66" s="11" t="s">
        <v>1859</v>
      </c>
      <c r="C66" s="37" t="s">
        <v>555</v>
      </c>
      <c r="D66" s="38" t="s">
        <v>554</v>
      </c>
      <c r="E66" s="38"/>
      <c r="F66" s="72"/>
      <c r="G66" s="85" t="s">
        <v>210</v>
      </c>
      <c r="H66" s="86" t="s">
        <v>173</v>
      </c>
      <c r="I66" s="87">
        <v>367559.32203389832</v>
      </c>
      <c r="J66" s="87">
        <v>433720</v>
      </c>
      <c r="K66" s="37"/>
      <c r="L66" s="37"/>
      <c r="M66" s="42">
        <f t="shared" si="5"/>
        <v>367559.32203389832</v>
      </c>
      <c r="N66" s="42">
        <v>433720</v>
      </c>
      <c r="O66" s="36"/>
      <c r="P66" s="42">
        <f t="shared" si="2"/>
        <v>367559.32203389832</v>
      </c>
      <c r="Q66" s="42">
        <f t="shared" si="3"/>
        <v>433720</v>
      </c>
    </row>
    <row r="67" spans="1:17" s="1" customFormat="1" ht="24" customHeight="1" x14ac:dyDescent="0.25">
      <c r="A67" s="17"/>
      <c r="B67" s="11" t="s">
        <v>1860</v>
      </c>
      <c r="C67" s="37" t="s">
        <v>557</v>
      </c>
      <c r="D67" s="38" t="s">
        <v>556</v>
      </c>
      <c r="E67" s="38"/>
      <c r="F67" s="72"/>
      <c r="G67" s="85" t="s">
        <v>211</v>
      </c>
      <c r="H67" s="86" t="s">
        <v>110</v>
      </c>
      <c r="I67" s="87">
        <v>367559.32203389832</v>
      </c>
      <c r="J67" s="87">
        <v>433720</v>
      </c>
      <c r="K67" s="37"/>
      <c r="L67" s="37"/>
      <c r="M67" s="42">
        <f t="shared" si="5"/>
        <v>367559.32203389832</v>
      </c>
      <c r="N67" s="42">
        <v>433720</v>
      </c>
      <c r="O67" s="36"/>
      <c r="P67" s="42">
        <f t="shared" si="2"/>
        <v>367559.32203389832</v>
      </c>
      <c r="Q67" s="42">
        <f t="shared" si="3"/>
        <v>433720</v>
      </c>
    </row>
    <row r="68" spans="1:17" s="1" customFormat="1" ht="31.5" customHeight="1" x14ac:dyDescent="0.25">
      <c r="A68" s="17"/>
      <c r="B68" s="11" t="s">
        <v>1861</v>
      </c>
      <c r="C68" s="37" t="s">
        <v>217</v>
      </c>
      <c r="D68" s="38" t="s">
        <v>559</v>
      </c>
      <c r="E68" s="38"/>
      <c r="F68" s="72"/>
      <c r="G68" s="34" t="s">
        <v>218</v>
      </c>
      <c r="H68" s="37" t="s">
        <v>106</v>
      </c>
      <c r="I68" s="42">
        <v>86000</v>
      </c>
      <c r="J68" s="42">
        <v>86000</v>
      </c>
      <c r="K68" s="37"/>
      <c r="L68" s="37"/>
      <c r="M68" s="42">
        <v>86000</v>
      </c>
      <c r="N68" s="42">
        <v>86000</v>
      </c>
      <c r="O68" s="36"/>
      <c r="P68" s="42">
        <f t="shared" si="2"/>
        <v>86000</v>
      </c>
      <c r="Q68" s="42">
        <f t="shared" si="3"/>
        <v>86000</v>
      </c>
    </row>
    <row r="69" spans="1:17" s="1" customFormat="1" ht="48.75" customHeight="1" x14ac:dyDescent="0.25">
      <c r="A69" s="17"/>
      <c r="B69" s="11" t="s">
        <v>1862</v>
      </c>
      <c r="C69" s="37" t="s">
        <v>561</v>
      </c>
      <c r="D69" s="38" t="s">
        <v>560</v>
      </c>
      <c r="E69" s="38"/>
      <c r="F69" s="72"/>
      <c r="G69" s="34" t="s">
        <v>224</v>
      </c>
      <c r="H69" s="37" t="s">
        <v>226</v>
      </c>
      <c r="I69" s="42">
        <v>426366.10169491527</v>
      </c>
      <c r="J69" s="42">
        <v>503112</v>
      </c>
      <c r="K69" s="37"/>
      <c r="L69" s="37"/>
      <c r="M69" s="42">
        <f>N69/1.18</f>
        <v>426366.10169491527</v>
      </c>
      <c r="N69" s="42">
        <v>503112</v>
      </c>
      <c r="O69" s="36"/>
      <c r="P69" s="42">
        <f t="shared" si="2"/>
        <v>426366.10169491527</v>
      </c>
      <c r="Q69" s="42">
        <f t="shared" si="3"/>
        <v>503112</v>
      </c>
    </row>
    <row r="70" spans="1:17" s="1" customFormat="1" ht="29.25" customHeight="1" x14ac:dyDescent="0.25">
      <c r="A70" s="17"/>
      <c r="B70" s="11" t="s">
        <v>1863</v>
      </c>
      <c r="C70" s="37" t="s">
        <v>563</v>
      </c>
      <c r="D70" s="38" t="s">
        <v>562</v>
      </c>
      <c r="E70" s="38"/>
      <c r="F70" s="72"/>
      <c r="G70" s="34" t="s">
        <v>225</v>
      </c>
      <c r="H70" s="37" t="s">
        <v>227</v>
      </c>
      <c r="I70" s="42">
        <v>422656.94915254239</v>
      </c>
      <c r="J70" s="42">
        <v>498735.2</v>
      </c>
      <c r="K70" s="37"/>
      <c r="L70" s="37"/>
      <c r="M70" s="42">
        <f>N70/1.18</f>
        <v>422656.94915254239</v>
      </c>
      <c r="N70" s="42">
        <v>498735.2</v>
      </c>
      <c r="O70" s="36"/>
      <c r="P70" s="42">
        <f t="shared" si="2"/>
        <v>422656.94915254239</v>
      </c>
      <c r="Q70" s="42">
        <f t="shared" si="3"/>
        <v>498735.2</v>
      </c>
    </row>
    <row r="71" spans="1:17" s="1" customFormat="1" ht="36" customHeight="1" x14ac:dyDescent="0.25">
      <c r="A71" s="17"/>
      <c r="B71" s="11" t="s">
        <v>1864</v>
      </c>
      <c r="C71" s="37" t="s">
        <v>565</v>
      </c>
      <c r="D71" s="38" t="s">
        <v>564</v>
      </c>
      <c r="E71" s="38"/>
      <c r="F71" s="72"/>
      <c r="G71" s="34" t="s">
        <v>228</v>
      </c>
      <c r="H71" s="37" t="s">
        <v>117</v>
      </c>
      <c r="I71" s="42">
        <v>59915.254237288136</v>
      </c>
      <c r="J71" s="42">
        <v>70700</v>
      </c>
      <c r="K71" s="37"/>
      <c r="L71" s="37"/>
      <c r="M71" s="42">
        <f>N71/1.18</f>
        <v>59915.254237288136</v>
      </c>
      <c r="N71" s="42">
        <v>70700</v>
      </c>
      <c r="O71" s="36"/>
      <c r="P71" s="42">
        <f t="shared" si="2"/>
        <v>59915.254237288136</v>
      </c>
      <c r="Q71" s="42">
        <f t="shared" si="3"/>
        <v>70700</v>
      </c>
    </row>
    <row r="72" spans="1:17" s="1" customFormat="1" ht="55.5" customHeight="1" x14ac:dyDescent="0.25">
      <c r="A72" s="125"/>
      <c r="B72" s="112" t="s">
        <v>1865</v>
      </c>
      <c r="C72" s="89" t="s">
        <v>567</v>
      </c>
      <c r="D72" s="113" t="s">
        <v>566</v>
      </c>
      <c r="E72" s="113"/>
      <c r="F72" s="89"/>
      <c r="G72" s="71" t="s">
        <v>234</v>
      </c>
      <c r="H72" s="72" t="s">
        <v>242</v>
      </c>
      <c r="I72" s="82">
        <v>194817.79661016949</v>
      </c>
      <c r="J72" s="82">
        <v>229885</v>
      </c>
      <c r="K72" s="72"/>
      <c r="L72" s="72"/>
      <c r="M72" s="82">
        <f t="shared" ref="M72:M99" si="6">N72/1.18</f>
        <v>194817.79661016949</v>
      </c>
      <c r="N72" s="82">
        <v>229885</v>
      </c>
      <c r="O72" s="84" t="s">
        <v>2132</v>
      </c>
      <c r="P72" s="42">
        <f t="shared" si="2"/>
        <v>194817.79661016949</v>
      </c>
      <c r="Q72" s="42">
        <f t="shared" si="3"/>
        <v>229885</v>
      </c>
    </row>
    <row r="73" spans="1:17" s="1" customFormat="1" ht="51" customHeight="1" x14ac:dyDescent="0.25">
      <c r="A73" s="17"/>
      <c r="B73" s="80" t="s">
        <v>1866</v>
      </c>
      <c r="C73" s="71" t="s">
        <v>568</v>
      </c>
      <c r="D73" s="81" t="s">
        <v>566</v>
      </c>
      <c r="E73" s="81"/>
      <c r="F73" s="72"/>
      <c r="G73" s="85" t="s">
        <v>235</v>
      </c>
      <c r="H73" s="86" t="s">
        <v>165</v>
      </c>
      <c r="I73" s="87">
        <v>313656.73728813563</v>
      </c>
      <c r="J73" s="87">
        <v>370114.95</v>
      </c>
      <c r="K73" s="72"/>
      <c r="L73" s="72"/>
      <c r="M73" s="82">
        <f t="shared" si="6"/>
        <v>313656.73728813563</v>
      </c>
      <c r="N73" s="82">
        <v>370114.95</v>
      </c>
      <c r="O73" s="36"/>
      <c r="P73" s="42">
        <f t="shared" si="2"/>
        <v>313656.73728813563</v>
      </c>
      <c r="Q73" s="42">
        <f t="shared" si="3"/>
        <v>370114.95</v>
      </c>
    </row>
    <row r="74" spans="1:17" s="1" customFormat="1" ht="43.5" customHeight="1" x14ac:dyDescent="0.25">
      <c r="A74" s="17"/>
      <c r="B74" s="80" t="s">
        <v>1867</v>
      </c>
      <c r="C74" s="71" t="s">
        <v>568</v>
      </c>
      <c r="D74" s="81" t="s">
        <v>566</v>
      </c>
      <c r="E74" s="81"/>
      <c r="F74" s="72"/>
      <c r="G74" s="71" t="s">
        <v>236</v>
      </c>
      <c r="H74" s="72" t="s">
        <v>243</v>
      </c>
      <c r="I74" s="82">
        <v>370750</v>
      </c>
      <c r="J74" s="82">
        <v>437485</v>
      </c>
      <c r="K74" s="72"/>
      <c r="L74" s="72"/>
      <c r="M74" s="82">
        <f t="shared" si="6"/>
        <v>370750</v>
      </c>
      <c r="N74" s="82">
        <v>437485</v>
      </c>
      <c r="O74" s="36"/>
      <c r="P74" s="42">
        <f t="shared" si="2"/>
        <v>370750</v>
      </c>
      <c r="Q74" s="42">
        <f t="shared" si="3"/>
        <v>437485</v>
      </c>
    </row>
    <row r="75" spans="1:17" s="1" customFormat="1" ht="36.75" customHeight="1" x14ac:dyDescent="0.25">
      <c r="A75" s="17"/>
      <c r="B75" s="80" t="s">
        <v>1868</v>
      </c>
      <c r="C75" s="72" t="s">
        <v>233</v>
      </c>
      <c r="D75" s="81"/>
      <c r="E75" s="81"/>
      <c r="F75" s="72"/>
      <c r="G75" s="71" t="s">
        <v>237</v>
      </c>
      <c r="H75" s="83">
        <v>42859</v>
      </c>
      <c r="I75" s="82">
        <v>333000</v>
      </c>
      <c r="J75" s="82">
        <v>392940</v>
      </c>
      <c r="K75" s="72"/>
      <c r="L75" s="72"/>
      <c r="M75" s="82">
        <f t="shared" si="6"/>
        <v>333000</v>
      </c>
      <c r="N75" s="82">
        <v>392940</v>
      </c>
      <c r="O75" s="36"/>
      <c r="P75" s="42">
        <f t="shared" si="2"/>
        <v>333000</v>
      </c>
      <c r="Q75" s="42">
        <f t="shared" si="3"/>
        <v>392940</v>
      </c>
    </row>
    <row r="76" spans="1:17" s="1" customFormat="1" ht="32.25" customHeight="1" x14ac:dyDescent="0.25">
      <c r="A76" s="17"/>
      <c r="B76" s="80" t="s">
        <v>1869</v>
      </c>
      <c r="C76" s="72" t="s">
        <v>570</v>
      </c>
      <c r="D76" s="81" t="s">
        <v>569</v>
      </c>
      <c r="E76" s="81"/>
      <c r="F76" s="72"/>
      <c r="G76" s="71" t="s">
        <v>238</v>
      </c>
      <c r="H76" s="72" t="s">
        <v>145</v>
      </c>
      <c r="I76" s="82">
        <v>362800</v>
      </c>
      <c r="J76" s="82">
        <v>428104</v>
      </c>
      <c r="K76" s="72"/>
      <c r="L76" s="72"/>
      <c r="M76" s="82">
        <f t="shared" si="6"/>
        <v>362800</v>
      </c>
      <c r="N76" s="82">
        <v>428104</v>
      </c>
      <c r="O76" s="36"/>
      <c r="P76" s="42">
        <f t="shared" si="2"/>
        <v>362800</v>
      </c>
      <c r="Q76" s="42">
        <f t="shared" si="3"/>
        <v>428104</v>
      </c>
    </row>
    <row r="77" spans="1:17" s="1" customFormat="1" ht="32.25" customHeight="1" x14ac:dyDescent="0.25">
      <c r="A77" s="17"/>
      <c r="B77" s="80" t="s">
        <v>1870</v>
      </c>
      <c r="C77" s="72" t="s">
        <v>572</v>
      </c>
      <c r="D77" s="81" t="s">
        <v>571</v>
      </c>
      <c r="E77" s="81"/>
      <c r="F77" s="72"/>
      <c r="G77" s="71" t="s">
        <v>239</v>
      </c>
      <c r="H77" s="72" t="s">
        <v>196</v>
      </c>
      <c r="I77" s="82">
        <v>370600</v>
      </c>
      <c r="J77" s="82">
        <v>437308</v>
      </c>
      <c r="K77" s="72"/>
      <c r="L77" s="72"/>
      <c r="M77" s="82">
        <f>N77/1.18</f>
        <v>370600</v>
      </c>
      <c r="N77" s="82">
        <v>437308</v>
      </c>
      <c r="O77" s="36"/>
      <c r="P77" s="42">
        <f t="shared" si="2"/>
        <v>370600</v>
      </c>
      <c r="Q77" s="42">
        <f t="shared" si="3"/>
        <v>437308</v>
      </c>
    </row>
    <row r="78" spans="1:17" s="1" customFormat="1" ht="32.25" customHeight="1" x14ac:dyDescent="0.25">
      <c r="A78" s="17"/>
      <c r="B78" s="80" t="s">
        <v>1869</v>
      </c>
      <c r="C78" s="72" t="s">
        <v>573</v>
      </c>
      <c r="D78" s="81" t="s">
        <v>540</v>
      </c>
      <c r="E78" s="81"/>
      <c r="F78" s="72"/>
      <c r="G78" s="85" t="s">
        <v>240</v>
      </c>
      <c r="H78" s="86" t="s">
        <v>110</v>
      </c>
      <c r="I78" s="87">
        <v>389500</v>
      </c>
      <c r="J78" s="87">
        <v>459610</v>
      </c>
      <c r="K78" s="72"/>
      <c r="L78" s="72"/>
      <c r="M78" s="82">
        <f t="shared" si="6"/>
        <v>389500</v>
      </c>
      <c r="N78" s="82">
        <v>459610</v>
      </c>
      <c r="O78" s="36"/>
      <c r="P78" s="42">
        <f t="shared" si="2"/>
        <v>389500</v>
      </c>
      <c r="Q78" s="42">
        <f t="shared" si="3"/>
        <v>459610</v>
      </c>
    </row>
    <row r="79" spans="1:17" s="1" customFormat="1" ht="32.25" customHeight="1" x14ac:dyDescent="0.25">
      <c r="A79" s="17"/>
      <c r="B79" s="80" t="s">
        <v>1869</v>
      </c>
      <c r="C79" s="72" t="s">
        <v>1828</v>
      </c>
      <c r="D79" s="81" t="s">
        <v>1827</v>
      </c>
      <c r="E79" s="81"/>
      <c r="F79" s="72"/>
      <c r="G79" s="71">
        <v>29672</v>
      </c>
      <c r="H79" s="83">
        <v>42807</v>
      </c>
      <c r="I79" s="82">
        <f>M79</f>
        <v>4455.1525423728817</v>
      </c>
      <c r="J79" s="82">
        <v>5257.08</v>
      </c>
      <c r="K79" s="72"/>
      <c r="L79" s="72"/>
      <c r="M79" s="82">
        <f t="shared" si="6"/>
        <v>4455.1525423728817</v>
      </c>
      <c r="N79" s="82">
        <v>5257.08</v>
      </c>
      <c r="O79" s="36"/>
      <c r="P79" s="42">
        <f t="shared" si="2"/>
        <v>4455.1525423728817</v>
      </c>
      <c r="Q79" s="42">
        <f t="shared" si="3"/>
        <v>5257.08</v>
      </c>
    </row>
    <row r="80" spans="1:17" s="1" customFormat="1" ht="32.25" customHeight="1" x14ac:dyDescent="0.25">
      <c r="A80" s="17"/>
      <c r="B80" s="80" t="s">
        <v>1869</v>
      </c>
      <c r="C80" s="72" t="s">
        <v>575</v>
      </c>
      <c r="D80" s="81" t="s">
        <v>574</v>
      </c>
      <c r="E80" s="81"/>
      <c r="F80" s="72"/>
      <c r="G80" s="71" t="s">
        <v>241</v>
      </c>
      <c r="H80" s="72" t="s">
        <v>244</v>
      </c>
      <c r="I80" s="82">
        <v>402950</v>
      </c>
      <c r="J80" s="82">
        <v>475481</v>
      </c>
      <c r="K80" s="72"/>
      <c r="L80" s="72"/>
      <c r="M80" s="82">
        <f t="shared" si="6"/>
        <v>402950</v>
      </c>
      <c r="N80" s="82">
        <v>475481</v>
      </c>
      <c r="O80" s="36"/>
      <c r="P80" s="42">
        <f t="shared" si="2"/>
        <v>402950</v>
      </c>
      <c r="Q80" s="42">
        <f t="shared" si="3"/>
        <v>475481</v>
      </c>
    </row>
    <row r="81" spans="1:17" s="1" customFormat="1" ht="33.75" customHeight="1" x14ac:dyDescent="0.25">
      <c r="A81" s="17"/>
      <c r="B81" s="11" t="s">
        <v>1871</v>
      </c>
      <c r="C81" s="37" t="s">
        <v>577</v>
      </c>
      <c r="D81" s="38" t="s">
        <v>576</v>
      </c>
      <c r="E81" s="38"/>
      <c r="F81" s="72"/>
      <c r="G81" s="34" t="s">
        <v>245</v>
      </c>
      <c r="H81" s="37" t="s">
        <v>143</v>
      </c>
      <c r="I81" s="42">
        <v>86891.94915254238</v>
      </c>
      <c r="J81" s="42">
        <v>102532.5</v>
      </c>
      <c r="K81" s="37"/>
      <c r="L81" s="37"/>
      <c r="M81" s="42">
        <f t="shared" si="6"/>
        <v>86891.94915254238</v>
      </c>
      <c r="N81" s="42">
        <v>102532.5</v>
      </c>
      <c r="O81" s="36"/>
      <c r="P81" s="42">
        <f t="shared" si="2"/>
        <v>86891.94915254238</v>
      </c>
      <c r="Q81" s="42">
        <f t="shared" si="3"/>
        <v>102532.5</v>
      </c>
    </row>
    <row r="82" spans="1:17" s="1" customFormat="1" ht="48" customHeight="1" x14ac:dyDescent="0.25">
      <c r="A82" s="17"/>
      <c r="B82" s="11" t="s">
        <v>1872</v>
      </c>
      <c r="C82" s="37" t="s">
        <v>579</v>
      </c>
      <c r="D82" s="38" t="s">
        <v>578</v>
      </c>
      <c r="E82" s="38"/>
      <c r="F82" s="72"/>
      <c r="G82" s="34" t="s">
        <v>246</v>
      </c>
      <c r="H82" s="37" t="s">
        <v>146</v>
      </c>
      <c r="I82" s="42">
        <v>461728.81355932204</v>
      </c>
      <c r="J82" s="42">
        <v>544840</v>
      </c>
      <c r="K82" s="37"/>
      <c r="L82" s="37"/>
      <c r="M82" s="42">
        <f t="shared" si="6"/>
        <v>461728.81355932204</v>
      </c>
      <c r="N82" s="42">
        <v>544840</v>
      </c>
      <c r="O82" s="36"/>
      <c r="P82" s="42">
        <f t="shared" si="2"/>
        <v>461728.81355932204</v>
      </c>
      <c r="Q82" s="42">
        <f t="shared" si="3"/>
        <v>544840</v>
      </c>
    </row>
    <row r="83" spans="1:17" s="1" customFormat="1" ht="56.25" customHeight="1" x14ac:dyDescent="0.25">
      <c r="A83" s="17"/>
      <c r="B83" s="11" t="s">
        <v>1873</v>
      </c>
      <c r="C83" s="37" t="s">
        <v>580</v>
      </c>
      <c r="D83" s="38" t="s">
        <v>144</v>
      </c>
      <c r="E83" s="38"/>
      <c r="F83" s="72"/>
      <c r="G83" s="34" t="s">
        <v>266</v>
      </c>
      <c r="H83" s="37" t="s">
        <v>167</v>
      </c>
      <c r="I83" s="42">
        <v>77038.135593220344</v>
      </c>
      <c r="J83" s="42">
        <v>90905</v>
      </c>
      <c r="K83" s="37"/>
      <c r="L83" s="37"/>
      <c r="M83" s="42">
        <f t="shared" si="6"/>
        <v>77038.135593220344</v>
      </c>
      <c r="N83" s="42">
        <v>90905</v>
      </c>
      <c r="O83" s="36"/>
      <c r="P83" s="42">
        <f t="shared" si="2"/>
        <v>77038.135593220344</v>
      </c>
      <c r="Q83" s="42">
        <f t="shared" si="3"/>
        <v>90905</v>
      </c>
    </row>
    <row r="84" spans="1:17" s="1" customFormat="1" ht="40.5" customHeight="1" x14ac:dyDescent="0.25">
      <c r="A84" s="17"/>
      <c r="B84" s="11" t="s">
        <v>1874</v>
      </c>
      <c r="C84" s="37" t="s">
        <v>582</v>
      </c>
      <c r="D84" s="38" t="s">
        <v>581</v>
      </c>
      <c r="E84" s="38"/>
      <c r="F84" s="72"/>
      <c r="G84" s="85" t="s">
        <v>268</v>
      </c>
      <c r="H84" s="86" t="s">
        <v>157</v>
      </c>
      <c r="I84" s="87">
        <v>178891.83898305084</v>
      </c>
      <c r="J84" s="87">
        <v>211092.37</v>
      </c>
      <c r="K84" s="37"/>
      <c r="L84" s="37"/>
      <c r="M84" s="42">
        <f t="shared" si="6"/>
        <v>178891.83898305084</v>
      </c>
      <c r="N84" s="42">
        <v>211092.37</v>
      </c>
      <c r="O84" s="36"/>
      <c r="P84" s="42">
        <f t="shared" si="2"/>
        <v>178891.83898305084</v>
      </c>
      <c r="Q84" s="42">
        <f t="shared" si="3"/>
        <v>211092.37</v>
      </c>
    </row>
    <row r="85" spans="1:17" s="1" customFormat="1" ht="39.75" customHeight="1" x14ac:dyDescent="0.25">
      <c r="A85" s="17"/>
      <c r="B85" s="11" t="s">
        <v>1875</v>
      </c>
      <c r="C85" s="37" t="s">
        <v>584</v>
      </c>
      <c r="D85" s="38" t="s">
        <v>583</v>
      </c>
      <c r="E85" s="38"/>
      <c r="F85" s="72"/>
      <c r="G85" s="34" t="s">
        <v>269</v>
      </c>
      <c r="H85" s="37" t="s">
        <v>106</v>
      </c>
      <c r="I85" s="42">
        <v>147564.61016949153</v>
      </c>
      <c r="J85" s="42">
        <v>174126.24</v>
      </c>
      <c r="K85" s="37"/>
      <c r="L85" s="37"/>
      <c r="M85" s="42">
        <f t="shared" si="6"/>
        <v>147564.61016949153</v>
      </c>
      <c r="N85" s="42">
        <v>174126.24</v>
      </c>
      <c r="O85" s="36"/>
      <c r="P85" s="42">
        <f t="shared" si="2"/>
        <v>147564.61016949153</v>
      </c>
      <c r="Q85" s="42">
        <f t="shared" si="3"/>
        <v>174126.24</v>
      </c>
    </row>
    <row r="86" spans="1:17" s="1" customFormat="1" ht="37.5" customHeight="1" x14ac:dyDescent="0.25">
      <c r="A86" s="125"/>
      <c r="B86" s="112" t="s">
        <v>1876</v>
      </c>
      <c r="C86" s="397" t="s">
        <v>586</v>
      </c>
      <c r="D86" s="394" t="s">
        <v>585</v>
      </c>
      <c r="E86" s="113"/>
      <c r="F86" s="72"/>
      <c r="G86" s="34" t="s">
        <v>270</v>
      </c>
      <c r="H86" s="37" t="s">
        <v>274</v>
      </c>
      <c r="I86" s="42">
        <v>1033347.4576271187</v>
      </c>
      <c r="J86" s="42">
        <v>1219350</v>
      </c>
      <c r="K86" s="37"/>
      <c r="L86" s="37"/>
      <c r="M86" s="42">
        <f t="shared" si="6"/>
        <v>1033347.4576271187</v>
      </c>
      <c r="N86" s="42">
        <v>1219350</v>
      </c>
      <c r="O86" s="36"/>
      <c r="P86" s="42">
        <f t="shared" si="2"/>
        <v>1033347.4576271187</v>
      </c>
      <c r="Q86" s="42">
        <f t="shared" si="3"/>
        <v>1219350</v>
      </c>
    </row>
    <row r="87" spans="1:17" s="1" customFormat="1" ht="37.5" customHeight="1" x14ac:dyDescent="0.25">
      <c r="A87" s="125"/>
      <c r="B87" s="112" t="s">
        <v>1876</v>
      </c>
      <c r="C87" s="398"/>
      <c r="D87" s="395"/>
      <c r="E87" s="113"/>
      <c r="F87" s="72"/>
      <c r="G87" s="34">
        <v>3047</v>
      </c>
      <c r="H87" s="49">
        <v>42466</v>
      </c>
      <c r="I87" s="42">
        <v>1847236.66</v>
      </c>
      <c r="J87" s="42">
        <v>2179739.2599999998</v>
      </c>
      <c r="K87" s="37"/>
      <c r="L87" s="37"/>
      <c r="M87" s="42">
        <f t="shared" si="6"/>
        <v>1847236.661016949</v>
      </c>
      <c r="N87" s="42">
        <v>2179739.2599999998</v>
      </c>
      <c r="O87" s="36"/>
      <c r="P87" s="42">
        <f t="shared" si="2"/>
        <v>1847236.661016949</v>
      </c>
      <c r="Q87" s="42">
        <f t="shared" si="3"/>
        <v>2179739.2599999998</v>
      </c>
    </row>
    <row r="88" spans="1:17" s="1" customFormat="1" ht="60.75" customHeight="1" x14ac:dyDescent="0.25">
      <c r="A88" s="125"/>
      <c r="B88" s="112" t="s">
        <v>1877</v>
      </c>
      <c r="C88" s="398"/>
      <c r="D88" s="395"/>
      <c r="E88" s="113"/>
      <c r="F88" s="72"/>
      <c r="G88" s="34" t="s">
        <v>271</v>
      </c>
      <c r="H88" s="37" t="s">
        <v>275</v>
      </c>
      <c r="I88" s="42">
        <v>838202.88135593222</v>
      </c>
      <c r="J88" s="42">
        <v>989079.4</v>
      </c>
      <c r="K88" s="37"/>
      <c r="L88" s="37"/>
      <c r="M88" s="42">
        <f t="shared" si="6"/>
        <v>838202.88135593222</v>
      </c>
      <c r="N88" s="42">
        <v>989079.4</v>
      </c>
      <c r="O88" s="36"/>
      <c r="P88" s="42">
        <f t="shared" si="2"/>
        <v>838202.88135593222</v>
      </c>
      <c r="Q88" s="42">
        <f t="shared" si="3"/>
        <v>989079.4</v>
      </c>
    </row>
    <row r="89" spans="1:17" s="1" customFormat="1" ht="64.5" customHeight="1" x14ac:dyDescent="0.25">
      <c r="A89" s="125"/>
      <c r="B89" s="112" t="s">
        <v>1877</v>
      </c>
      <c r="C89" s="398"/>
      <c r="D89" s="395"/>
      <c r="E89" s="113"/>
      <c r="F89" s="72"/>
      <c r="G89" s="34">
        <v>13122</v>
      </c>
      <c r="H89" s="49">
        <v>42572</v>
      </c>
      <c r="I89" s="42">
        <v>1003401.99</v>
      </c>
      <c r="J89" s="42">
        <v>1184014.3500000001</v>
      </c>
      <c r="K89" s="37"/>
      <c r="L89" s="37"/>
      <c r="M89" s="42">
        <f t="shared" si="6"/>
        <v>1003401.9915254238</v>
      </c>
      <c r="N89" s="42">
        <v>1184014.3500000001</v>
      </c>
      <c r="O89" s="36"/>
      <c r="P89" s="42">
        <f t="shared" si="2"/>
        <v>1003401.9915254238</v>
      </c>
      <c r="Q89" s="42">
        <f t="shared" si="3"/>
        <v>1184014.3500000001</v>
      </c>
    </row>
    <row r="90" spans="1:17" s="1" customFormat="1" ht="57" customHeight="1" x14ac:dyDescent="0.25">
      <c r="A90" s="125"/>
      <c r="B90" s="112" t="s">
        <v>1877</v>
      </c>
      <c r="C90" s="398"/>
      <c r="D90" s="395"/>
      <c r="E90" s="113"/>
      <c r="F90" s="72"/>
      <c r="G90" s="34">
        <v>13123</v>
      </c>
      <c r="H90" s="49">
        <v>42572</v>
      </c>
      <c r="I90" s="42">
        <v>1094526.78</v>
      </c>
      <c r="J90" s="42">
        <v>1291541.6000000001</v>
      </c>
      <c r="K90" s="37"/>
      <c r="L90" s="37"/>
      <c r="M90" s="42">
        <f t="shared" si="6"/>
        <v>1094526.779661017</v>
      </c>
      <c r="N90" s="42">
        <v>1291541.6000000001</v>
      </c>
      <c r="O90" s="36"/>
      <c r="P90" s="42">
        <f t="shared" si="2"/>
        <v>1094526.779661017</v>
      </c>
      <c r="Q90" s="42">
        <f t="shared" si="3"/>
        <v>1291541.6000000001</v>
      </c>
    </row>
    <row r="91" spans="1:17" s="1" customFormat="1" ht="18" customHeight="1" x14ac:dyDescent="0.25">
      <c r="A91" s="125"/>
      <c r="B91" s="112" t="s">
        <v>1877</v>
      </c>
      <c r="C91" s="398"/>
      <c r="D91" s="395"/>
      <c r="E91" s="113"/>
      <c r="F91" s="72"/>
      <c r="G91" s="34">
        <v>13124</v>
      </c>
      <c r="H91" s="49">
        <v>42572</v>
      </c>
      <c r="I91" s="42">
        <v>846572.03</v>
      </c>
      <c r="J91" s="42">
        <v>998955</v>
      </c>
      <c r="K91" s="37"/>
      <c r="L91" s="37"/>
      <c r="M91" s="42">
        <f t="shared" si="6"/>
        <v>846572.03389830515</v>
      </c>
      <c r="N91" s="42">
        <v>998955</v>
      </c>
      <c r="O91" s="36"/>
      <c r="P91" s="42">
        <f t="shared" si="2"/>
        <v>846572.03389830515</v>
      </c>
      <c r="Q91" s="42">
        <f t="shared" si="3"/>
        <v>998955</v>
      </c>
    </row>
    <row r="92" spans="1:17" s="1" customFormat="1" ht="18" customHeight="1" x14ac:dyDescent="0.25">
      <c r="A92" s="125"/>
      <c r="B92" s="112" t="s">
        <v>1877</v>
      </c>
      <c r="C92" s="398"/>
      <c r="D92" s="395"/>
      <c r="E92" s="113"/>
      <c r="F92" s="72"/>
      <c r="G92" s="34" t="s">
        <v>272</v>
      </c>
      <c r="H92" s="37" t="s">
        <v>276</v>
      </c>
      <c r="I92" s="42">
        <v>2636955.7033898304</v>
      </c>
      <c r="J92" s="42">
        <v>3111607.73</v>
      </c>
      <c r="K92" s="37"/>
      <c r="L92" s="37"/>
      <c r="M92" s="42">
        <f t="shared" si="6"/>
        <v>2636955.7033898304</v>
      </c>
      <c r="N92" s="42">
        <v>3111607.73</v>
      </c>
      <c r="O92" s="36"/>
      <c r="P92" s="42">
        <f t="shared" ref="P92:P174" si="7">M92</f>
        <v>2636955.7033898304</v>
      </c>
      <c r="Q92" s="42">
        <f t="shared" ref="Q92:Q174" si="8">N92</f>
        <v>3111607.73</v>
      </c>
    </row>
    <row r="93" spans="1:17" s="1" customFormat="1" ht="18" customHeight="1" x14ac:dyDescent="0.25">
      <c r="A93" s="125"/>
      <c r="B93" s="112" t="s">
        <v>1877</v>
      </c>
      <c r="C93" s="399"/>
      <c r="D93" s="396"/>
      <c r="E93" s="113"/>
      <c r="F93" s="72"/>
      <c r="G93" s="34" t="s">
        <v>273</v>
      </c>
      <c r="H93" s="37" t="s">
        <v>207</v>
      </c>
      <c r="I93" s="42">
        <v>690790.93220338994</v>
      </c>
      <c r="J93" s="42">
        <v>815133.3</v>
      </c>
      <c r="K93" s="37"/>
      <c r="L93" s="37"/>
      <c r="M93" s="42">
        <f t="shared" si="6"/>
        <v>690790.93220338994</v>
      </c>
      <c r="N93" s="42">
        <v>815133.3</v>
      </c>
      <c r="O93" s="36"/>
      <c r="P93" s="42">
        <f t="shared" si="7"/>
        <v>690790.93220338994</v>
      </c>
      <c r="Q93" s="42">
        <f t="shared" si="8"/>
        <v>815133.3</v>
      </c>
    </row>
    <row r="94" spans="1:17" s="1" customFormat="1" ht="59.25" customHeight="1" x14ac:dyDescent="0.25">
      <c r="A94" s="17"/>
      <c r="B94" s="11" t="s">
        <v>1878</v>
      </c>
      <c r="C94" s="37" t="s">
        <v>588</v>
      </c>
      <c r="D94" s="38" t="s">
        <v>587</v>
      </c>
      <c r="E94" s="38"/>
      <c r="F94" s="72"/>
      <c r="G94" s="34" t="s">
        <v>277</v>
      </c>
      <c r="H94" s="37" t="s">
        <v>226</v>
      </c>
      <c r="I94" s="42">
        <v>54661.016949152545</v>
      </c>
      <c r="J94" s="42">
        <v>64500</v>
      </c>
      <c r="K94" s="37"/>
      <c r="L94" s="37"/>
      <c r="M94" s="42">
        <f t="shared" si="6"/>
        <v>54661.016949152545</v>
      </c>
      <c r="N94" s="42">
        <v>64500</v>
      </c>
      <c r="O94" s="36"/>
      <c r="P94" s="42">
        <f t="shared" si="7"/>
        <v>54661.016949152545</v>
      </c>
      <c r="Q94" s="42">
        <f t="shared" si="8"/>
        <v>64500</v>
      </c>
    </row>
    <row r="95" spans="1:17" s="1" customFormat="1" ht="37.5" customHeight="1" x14ac:dyDescent="0.25">
      <c r="A95" s="17"/>
      <c r="B95" s="11" t="s">
        <v>1879</v>
      </c>
      <c r="C95" s="37" t="s">
        <v>1802</v>
      </c>
      <c r="D95" s="38"/>
      <c r="E95" s="38"/>
      <c r="F95" s="72"/>
      <c r="G95" s="34">
        <v>19464</v>
      </c>
      <c r="H95" s="49">
        <v>42732</v>
      </c>
      <c r="I95" s="42">
        <f>M95</f>
        <v>45254.237288135599</v>
      </c>
      <c r="J95" s="42">
        <v>53400</v>
      </c>
      <c r="K95" s="37"/>
      <c r="L95" s="37"/>
      <c r="M95" s="42">
        <f t="shared" si="6"/>
        <v>45254.237288135599</v>
      </c>
      <c r="N95" s="42">
        <v>53400</v>
      </c>
      <c r="O95" s="36"/>
      <c r="P95" s="42">
        <f t="shared" si="7"/>
        <v>45254.237288135599</v>
      </c>
      <c r="Q95" s="42">
        <f t="shared" si="8"/>
        <v>53400</v>
      </c>
    </row>
    <row r="96" spans="1:17" s="1" customFormat="1" ht="33.75" customHeight="1" x14ac:dyDescent="0.25">
      <c r="A96" s="17"/>
      <c r="B96" s="11" t="s">
        <v>1880</v>
      </c>
      <c r="C96" s="37" t="s">
        <v>590</v>
      </c>
      <c r="D96" s="38" t="s">
        <v>589</v>
      </c>
      <c r="E96" s="38"/>
      <c r="F96" s="72"/>
      <c r="G96" s="85" t="s">
        <v>278</v>
      </c>
      <c r="H96" s="86" t="s">
        <v>173</v>
      </c>
      <c r="I96" s="87">
        <v>57203.38983050848</v>
      </c>
      <c r="J96" s="87">
        <v>67500</v>
      </c>
      <c r="K96" s="37"/>
      <c r="L96" s="37"/>
      <c r="M96" s="42">
        <f t="shared" si="6"/>
        <v>57203.38983050848</v>
      </c>
      <c r="N96" s="42">
        <v>67500</v>
      </c>
      <c r="O96" s="36"/>
      <c r="P96" s="42">
        <f t="shared" si="7"/>
        <v>57203.38983050848</v>
      </c>
      <c r="Q96" s="42">
        <f t="shared" si="8"/>
        <v>67500</v>
      </c>
    </row>
    <row r="97" spans="1:17" s="1" customFormat="1" ht="35.25" customHeight="1" x14ac:dyDescent="0.25">
      <c r="A97" s="17"/>
      <c r="B97" s="11" t="s">
        <v>1880</v>
      </c>
      <c r="C97" s="37" t="s">
        <v>591</v>
      </c>
      <c r="D97" s="38" t="s">
        <v>420</v>
      </c>
      <c r="E97" s="38"/>
      <c r="F97" s="72"/>
      <c r="G97" s="34" t="s">
        <v>279</v>
      </c>
      <c r="H97" s="37" t="s">
        <v>227</v>
      </c>
      <c r="I97" s="42">
        <v>50847.457627118645</v>
      </c>
      <c r="J97" s="42">
        <v>60000</v>
      </c>
      <c r="K97" s="37"/>
      <c r="L97" s="37"/>
      <c r="M97" s="42">
        <f t="shared" si="6"/>
        <v>50847.457627118645</v>
      </c>
      <c r="N97" s="42">
        <v>60000</v>
      </c>
      <c r="O97" s="36"/>
      <c r="P97" s="42">
        <f t="shared" si="7"/>
        <v>50847.457627118645</v>
      </c>
      <c r="Q97" s="42">
        <f t="shared" si="8"/>
        <v>60000</v>
      </c>
    </row>
    <row r="98" spans="1:17" s="1" customFormat="1" ht="41.25" customHeight="1" x14ac:dyDescent="0.25">
      <c r="A98" s="17"/>
      <c r="B98" s="11" t="s">
        <v>1881</v>
      </c>
      <c r="C98" s="37" t="s">
        <v>592</v>
      </c>
      <c r="D98" s="38" t="s">
        <v>540</v>
      </c>
      <c r="E98" s="38"/>
      <c r="F98" s="72"/>
      <c r="G98" s="34" t="s">
        <v>280</v>
      </c>
      <c r="H98" s="37" t="s">
        <v>110</v>
      </c>
      <c r="I98" s="42">
        <v>74745.762711864416</v>
      </c>
      <c r="J98" s="42">
        <v>88200</v>
      </c>
      <c r="K98" s="37"/>
      <c r="L98" s="37"/>
      <c r="M98" s="42">
        <f t="shared" si="6"/>
        <v>74745.762711864416</v>
      </c>
      <c r="N98" s="42">
        <v>88200</v>
      </c>
      <c r="O98" s="36"/>
      <c r="P98" s="42">
        <f t="shared" si="7"/>
        <v>74745.762711864416</v>
      </c>
      <c r="Q98" s="42">
        <f t="shared" si="8"/>
        <v>88200</v>
      </c>
    </row>
    <row r="99" spans="1:17" s="1" customFormat="1" ht="36.75" customHeight="1" x14ac:dyDescent="0.25">
      <c r="A99" s="17"/>
      <c r="B99" s="11" t="s">
        <v>1882</v>
      </c>
      <c r="C99" s="37" t="s">
        <v>593</v>
      </c>
      <c r="D99" s="38" t="s">
        <v>117</v>
      </c>
      <c r="E99" s="38"/>
      <c r="F99" s="72"/>
      <c r="G99" s="34" t="s">
        <v>281</v>
      </c>
      <c r="H99" s="37" t="s">
        <v>117</v>
      </c>
      <c r="I99" s="42">
        <v>147211.86440677967</v>
      </c>
      <c r="J99" s="42">
        <v>173710</v>
      </c>
      <c r="K99" s="37"/>
      <c r="L99" s="37"/>
      <c r="M99" s="42">
        <f t="shared" si="6"/>
        <v>147211.86440677967</v>
      </c>
      <c r="N99" s="42">
        <v>173710</v>
      </c>
      <c r="O99" s="36"/>
      <c r="P99" s="42">
        <f t="shared" si="7"/>
        <v>147211.86440677967</v>
      </c>
      <c r="Q99" s="42">
        <f t="shared" si="8"/>
        <v>173710</v>
      </c>
    </row>
    <row r="100" spans="1:17" s="1" customFormat="1" ht="39" customHeight="1" x14ac:dyDescent="0.25">
      <c r="A100" s="17"/>
      <c r="B100" s="11" t="s">
        <v>1883</v>
      </c>
      <c r="C100" s="37" t="s">
        <v>282</v>
      </c>
      <c r="D100" s="38" t="s">
        <v>594</v>
      </c>
      <c r="E100" s="38"/>
      <c r="F100" s="72"/>
      <c r="G100" s="85" t="s">
        <v>283</v>
      </c>
      <c r="H100" s="86" t="s">
        <v>173</v>
      </c>
      <c r="I100" s="87">
        <f>M100</f>
        <v>154806.77966101695</v>
      </c>
      <c r="J100" s="87">
        <v>182672</v>
      </c>
      <c r="K100" s="37"/>
      <c r="L100" s="37"/>
      <c r="M100" s="42">
        <f>P100</f>
        <v>154806.77966101695</v>
      </c>
      <c r="N100" s="42">
        <v>182672</v>
      </c>
      <c r="O100" s="36"/>
      <c r="P100" s="42">
        <f>Q100/1.18</f>
        <v>154806.77966101695</v>
      </c>
      <c r="Q100" s="42">
        <f t="shared" si="8"/>
        <v>182672</v>
      </c>
    </row>
    <row r="101" spans="1:17" s="1" customFormat="1" ht="39" customHeight="1" x14ac:dyDescent="0.25">
      <c r="A101" s="17"/>
      <c r="B101" s="11" t="s">
        <v>1883</v>
      </c>
      <c r="C101" s="37" t="s">
        <v>1801</v>
      </c>
      <c r="D101" s="38" t="s">
        <v>767</v>
      </c>
      <c r="E101" s="38"/>
      <c r="F101" s="72"/>
      <c r="G101" s="34">
        <v>39758</v>
      </c>
      <c r="H101" s="49">
        <v>42942</v>
      </c>
      <c r="I101" s="42">
        <f>M101</f>
        <v>38135.593220338982</v>
      </c>
      <c r="J101" s="42">
        <v>45000</v>
      </c>
      <c r="K101" s="37"/>
      <c r="L101" s="37"/>
      <c r="M101" s="42">
        <f>P101</f>
        <v>38135.593220338982</v>
      </c>
      <c r="N101" s="42">
        <v>45000</v>
      </c>
      <c r="O101" s="36"/>
      <c r="P101" s="42">
        <f>Q101/1.18</f>
        <v>38135.593220338982</v>
      </c>
      <c r="Q101" s="42">
        <f t="shared" si="8"/>
        <v>45000</v>
      </c>
    </row>
    <row r="102" spans="1:17" s="1" customFormat="1" ht="28.5" customHeight="1" x14ac:dyDescent="0.25">
      <c r="A102" s="17"/>
      <c r="B102" s="11" t="s">
        <v>1884</v>
      </c>
      <c r="C102" s="37" t="s">
        <v>596</v>
      </c>
      <c r="D102" s="38" t="s">
        <v>595</v>
      </c>
      <c r="E102" s="38"/>
      <c r="F102" s="72"/>
      <c r="G102" s="34" t="s">
        <v>284</v>
      </c>
      <c r="H102" s="37" t="s">
        <v>104</v>
      </c>
      <c r="I102" s="42">
        <v>328220.33898305084</v>
      </c>
      <c r="J102" s="42">
        <v>387300</v>
      </c>
      <c r="K102" s="37"/>
      <c r="L102" s="37"/>
      <c r="M102" s="42">
        <f>N102/1.18</f>
        <v>328220.33898305084</v>
      </c>
      <c r="N102" s="42">
        <v>387300</v>
      </c>
      <c r="O102" s="36"/>
      <c r="P102" s="42">
        <f t="shared" si="7"/>
        <v>328220.33898305084</v>
      </c>
      <c r="Q102" s="42">
        <f t="shared" si="8"/>
        <v>387300</v>
      </c>
    </row>
    <row r="103" spans="1:17" s="1" customFormat="1" ht="32.25" customHeight="1" x14ac:dyDescent="0.25">
      <c r="A103" s="17"/>
      <c r="B103" s="11" t="s">
        <v>1885</v>
      </c>
      <c r="C103" s="37" t="s">
        <v>597</v>
      </c>
      <c r="D103" s="38" t="s">
        <v>595</v>
      </c>
      <c r="E103" s="38"/>
      <c r="F103" s="72"/>
      <c r="G103" s="85" t="s">
        <v>285</v>
      </c>
      <c r="H103" s="86" t="s">
        <v>157</v>
      </c>
      <c r="I103" s="87">
        <v>48305.084745762717</v>
      </c>
      <c r="J103" s="87">
        <v>57000</v>
      </c>
      <c r="K103" s="37"/>
      <c r="L103" s="37"/>
      <c r="M103" s="42">
        <f t="shared" ref="M103:M118" si="9">N103/1.18</f>
        <v>48305.084745762717</v>
      </c>
      <c r="N103" s="42">
        <v>57000</v>
      </c>
      <c r="O103" s="36"/>
      <c r="P103" s="42">
        <f t="shared" si="7"/>
        <v>48305.084745762717</v>
      </c>
      <c r="Q103" s="42">
        <f t="shared" si="8"/>
        <v>57000</v>
      </c>
    </row>
    <row r="104" spans="1:17" s="1" customFormat="1" ht="33.75" customHeight="1" x14ac:dyDescent="0.25">
      <c r="A104" s="17"/>
      <c r="B104" s="11" t="s">
        <v>1886</v>
      </c>
      <c r="C104" s="37" t="s">
        <v>597</v>
      </c>
      <c r="D104" s="38" t="s">
        <v>595</v>
      </c>
      <c r="E104" s="38"/>
      <c r="F104" s="72"/>
      <c r="G104" s="34" t="s">
        <v>286</v>
      </c>
      <c r="H104" s="37" t="s">
        <v>274</v>
      </c>
      <c r="I104" s="42">
        <v>28457.627118644068</v>
      </c>
      <c r="J104" s="42">
        <v>33580</v>
      </c>
      <c r="K104" s="37"/>
      <c r="L104" s="37"/>
      <c r="M104" s="42">
        <f t="shared" si="9"/>
        <v>28457.627118644068</v>
      </c>
      <c r="N104" s="42">
        <v>33580</v>
      </c>
      <c r="O104" s="36"/>
      <c r="P104" s="42">
        <f t="shared" si="7"/>
        <v>28457.627118644068</v>
      </c>
      <c r="Q104" s="42">
        <f t="shared" si="8"/>
        <v>33580</v>
      </c>
    </row>
    <row r="105" spans="1:17" s="1" customFormat="1" ht="39" customHeight="1" x14ac:dyDescent="0.25">
      <c r="A105" s="17"/>
      <c r="B105" s="11" t="s">
        <v>1887</v>
      </c>
      <c r="C105" s="37" t="s">
        <v>599</v>
      </c>
      <c r="D105" s="38" t="s">
        <v>598</v>
      </c>
      <c r="E105" s="38"/>
      <c r="F105" s="72"/>
      <c r="G105" s="85" t="s">
        <v>287</v>
      </c>
      <c r="H105" s="86" t="s">
        <v>165</v>
      </c>
      <c r="I105" s="87">
        <v>128610.16949152543</v>
      </c>
      <c r="J105" s="87">
        <v>151760</v>
      </c>
      <c r="K105" s="37"/>
      <c r="L105" s="37"/>
      <c r="M105" s="42">
        <f t="shared" si="9"/>
        <v>128610.16949152543</v>
      </c>
      <c r="N105" s="42">
        <v>151760</v>
      </c>
      <c r="O105" s="36"/>
      <c r="P105" s="42">
        <f t="shared" si="7"/>
        <v>128610.16949152543</v>
      </c>
      <c r="Q105" s="42">
        <f t="shared" si="8"/>
        <v>151760</v>
      </c>
    </row>
    <row r="106" spans="1:17" s="1" customFormat="1" ht="54" customHeight="1" x14ac:dyDescent="0.25">
      <c r="A106" s="17"/>
      <c r="B106" s="11" t="s">
        <v>1888</v>
      </c>
      <c r="C106" s="37" t="s">
        <v>600</v>
      </c>
      <c r="D106" s="38" t="s">
        <v>598</v>
      </c>
      <c r="E106" s="38"/>
      <c r="F106" s="72"/>
      <c r="G106" s="85" t="s">
        <v>288</v>
      </c>
      <c r="H106" s="86" t="s">
        <v>165</v>
      </c>
      <c r="I106" s="87">
        <v>54305.084745762717</v>
      </c>
      <c r="J106" s="87">
        <v>64080</v>
      </c>
      <c r="K106" s="37"/>
      <c r="L106" s="37"/>
      <c r="M106" s="42">
        <f t="shared" si="9"/>
        <v>54305.084745762717</v>
      </c>
      <c r="N106" s="42">
        <v>64080</v>
      </c>
      <c r="O106" s="36"/>
      <c r="P106" s="42">
        <f t="shared" si="7"/>
        <v>54305.084745762717</v>
      </c>
      <c r="Q106" s="42">
        <f t="shared" si="8"/>
        <v>64080</v>
      </c>
    </row>
    <row r="107" spans="1:17" s="1" customFormat="1" ht="60.75" customHeight="1" x14ac:dyDescent="0.25">
      <c r="A107" s="17"/>
      <c r="B107" s="11" t="s">
        <v>1889</v>
      </c>
      <c r="C107" s="37" t="s">
        <v>602</v>
      </c>
      <c r="D107" s="38" t="s">
        <v>601</v>
      </c>
      <c r="E107" s="38"/>
      <c r="F107" s="72"/>
      <c r="G107" s="85" t="s">
        <v>289</v>
      </c>
      <c r="H107" s="86" t="s">
        <v>173</v>
      </c>
      <c r="I107" s="87">
        <v>169491.52542372883</v>
      </c>
      <c r="J107" s="87">
        <v>200000</v>
      </c>
      <c r="K107" s="37"/>
      <c r="L107" s="37"/>
      <c r="M107" s="42">
        <f t="shared" si="9"/>
        <v>169491.52542372883</v>
      </c>
      <c r="N107" s="42">
        <v>200000</v>
      </c>
      <c r="O107" s="36"/>
      <c r="P107" s="42">
        <f t="shared" si="7"/>
        <v>169491.52542372883</v>
      </c>
      <c r="Q107" s="42">
        <f t="shared" si="8"/>
        <v>200000</v>
      </c>
    </row>
    <row r="108" spans="1:17" s="1" customFormat="1" ht="60.75" customHeight="1" x14ac:dyDescent="0.25">
      <c r="A108" s="17"/>
      <c r="B108" s="11" t="s">
        <v>1890</v>
      </c>
      <c r="C108" s="37" t="s">
        <v>1796</v>
      </c>
      <c r="D108" s="38" t="s">
        <v>627</v>
      </c>
      <c r="E108" s="38"/>
      <c r="F108" s="72"/>
      <c r="G108" s="34">
        <v>30388</v>
      </c>
      <c r="H108" s="49">
        <v>42823</v>
      </c>
      <c r="I108" s="42">
        <f>M108</f>
        <v>21525.423728813559</v>
      </c>
      <c r="J108" s="42">
        <v>25400</v>
      </c>
      <c r="K108" s="37"/>
      <c r="L108" s="37"/>
      <c r="M108" s="42">
        <f t="shared" si="9"/>
        <v>21525.423728813559</v>
      </c>
      <c r="N108" s="42">
        <v>25400</v>
      </c>
      <c r="O108" s="36"/>
      <c r="P108" s="42">
        <f t="shared" si="7"/>
        <v>21525.423728813559</v>
      </c>
      <c r="Q108" s="42">
        <f t="shared" si="8"/>
        <v>25400</v>
      </c>
    </row>
    <row r="109" spans="1:17" s="1" customFormat="1" ht="60.75" customHeight="1" x14ac:dyDescent="0.25">
      <c r="A109" s="17"/>
      <c r="B109" s="11" t="s">
        <v>1891</v>
      </c>
      <c r="C109" s="37" t="s">
        <v>1797</v>
      </c>
      <c r="D109" s="38" t="s">
        <v>601</v>
      </c>
      <c r="E109" s="38"/>
      <c r="F109" s="72"/>
      <c r="G109" s="34">
        <v>30332</v>
      </c>
      <c r="H109" s="49">
        <v>42822</v>
      </c>
      <c r="I109" s="42">
        <f>M109</f>
        <v>131584.74576271189</v>
      </c>
      <c r="J109" s="42">
        <v>155270</v>
      </c>
      <c r="K109" s="37"/>
      <c r="L109" s="37"/>
      <c r="M109" s="42">
        <f t="shared" si="9"/>
        <v>131584.74576271189</v>
      </c>
      <c r="N109" s="42">
        <v>155270</v>
      </c>
      <c r="O109" s="36"/>
      <c r="P109" s="42">
        <f t="shared" si="7"/>
        <v>131584.74576271189</v>
      </c>
      <c r="Q109" s="42">
        <f t="shared" si="8"/>
        <v>155270</v>
      </c>
    </row>
    <row r="110" spans="1:17" s="1" customFormat="1" ht="21" customHeight="1" x14ac:dyDescent="0.25">
      <c r="A110" s="17"/>
      <c r="B110" s="11" t="s">
        <v>1892</v>
      </c>
      <c r="C110" s="37" t="s">
        <v>604</v>
      </c>
      <c r="D110" s="38" t="s">
        <v>603</v>
      </c>
      <c r="E110" s="38"/>
      <c r="F110" s="72"/>
      <c r="G110" s="34" t="s">
        <v>290</v>
      </c>
      <c r="H110" s="37" t="s">
        <v>151</v>
      </c>
      <c r="I110" s="42">
        <v>52642.372881355936</v>
      </c>
      <c r="J110" s="42">
        <v>62118</v>
      </c>
      <c r="K110" s="37"/>
      <c r="L110" s="37"/>
      <c r="M110" s="42">
        <f>N110/1.18</f>
        <v>52642.372881355936</v>
      </c>
      <c r="N110" s="42">
        <v>62118</v>
      </c>
      <c r="O110" s="36"/>
      <c r="P110" s="42">
        <f t="shared" si="7"/>
        <v>52642.372881355936</v>
      </c>
      <c r="Q110" s="42">
        <f t="shared" si="8"/>
        <v>62118</v>
      </c>
    </row>
    <row r="111" spans="1:17" s="1" customFormat="1" ht="29.25" customHeight="1" x14ac:dyDescent="0.25">
      <c r="A111" s="17"/>
      <c r="B111" s="11" t="s">
        <v>1893</v>
      </c>
      <c r="C111" s="37" t="s">
        <v>605</v>
      </c>
      <c r="D111" s="38" t="s">
        <v>603</v>
      </c>
      <c r="E111" s="38"/>
      <c r="F111" s="72"/>
      <c r="G111" s="34" t="s">
        <v>291</v>
      </c>
      <c r="H111" s="37" t="s">
        <v>151</v>
      </c>
      <c r="I111" s="42">
        <v>38389.830508474581</v>
      </c>
      <c r="J111" s="42">
        <v>45300</v>
      </c>
      <c r="K111" s="37"/>
      <c r="L111" s="37"/>
      <c r="M111" s="42">
        <f t="shared" si="9"/>
        <v>38389.830508474581</v>
      </c>
      <c r="N111" s="42">
        <v>45300</v>
      </c>
      <c r="O111" s="36"/>
      <c r="P111" s="42">
        <f t="shared" si="7"/>
        <v>38389.830508474581</v>
      </c>
      <c r="Q111" s="42">
        <f t="shared" si="8"/>
        <v>45300</v>
      </c>
    </row>
    <row r="112" spans="1:17" s="1" customFormat="1" ht="31.5" customHeight="1" x14ac:dyDescent="0.25">
      <c r="A112" s="17"/>
      <c r="B112" s="11" t="s">
        <v>1894</v>
      </c>
      <c r="C112" s="37" t="s">
        <v>606</v>
      </c>
      <c r="D112" s="38" t="s">
        <v>569</v>
      </c>
      <c r="E112" s="38"/>
      <c r="F112" s="72"/>
      <c r="G112" s="34" t="s">
        <v>292</v>
      </c>
      <c r="H112" s="37" t="s">
        <v>145</v>
      </c>
      <c r="I112" s="42">
        <v>164288.13559322036</v>
      </c>
      <c r="J112" s="42">
        <v>193860</v>
      </c>
      <c r="K112" s="37"/>
      <c r="L112" s="37"/>
      <c r="M112" s="42">
        <f t="shared" si="9"/>
        <v>164288.13559322036</v>
      </c>
      <c r="N112" s="42">
        <v>193860</v>
      </c>
      <c r="O112" s="36"/>
      <c r="P112" s="42">
        <f t="shared" si="7"/>
        <v>164288.13559322036</v>
      </c>
      <c r="Q112" s="42">
        <f t="shared" si="8"/>
        <v>193860</v>
      </c>
    </row>
    <row r="113" spans="1:17" s="1" customFormat="1" ht="31.5" customHeight="1" x14ac:dyDescent="0.25">
      <c r="A113" s="17"/>
      <c r="B113" s="11" t="s">
        <v>1895</v>
      </c>
      <c r="C113" s="37" t="s">
        <v>1798</v>
      </c>
      <c r="D113" s="38" t="s">
        <v>1799</v>
      </c>
      <c r="E113" s="38"/>
      <c r="F113" s="72"/>
      <c r="G113" s="34">
        <v>51281</v>
      </c>
      <c r="H113" s="49">
        <v>42991</v>
      </c>
      <c r="I113" s="42">
        <f>M113</f>
        <v>27762.711864406781</v>
      </c>
      <c r="J113" s="42">
        <v>32760</v>
      </c>
      <c r="K113" s="37"/>
      <c r="L113" s="37"/>
      <c r="M113" s="42">
        <f t="shared" si="9"/>
        <v>27762.711864406781</v>
      </c>
      <c r="N113" s="42">
        <v>32760</v>
      </c>
      <c r="O113" s="36"/>
      <c r="P113" s="42">
        <f t="shared" si="7"/>
        <v>27762.711864406781</v>
      </c>
      <c r="Q113" s="42">
        <f t="shared" si="8"/>
        <v>32760</v>
      </c>
    </row>
    <row r="114" spans="1:17" s="1" customFormat="1" ht="31.5" customHeight="1" x14ac:dyDescent="0.25">
      <c r="A114" s="17"/>
      <c r="B114" s="11" t="s">
        <v>1896</v>
      </c>
      <c r="C114" s="37" t="s">
        <v>1795</v>
      </c>
      <c r="D114" s="38" t="s">
        <v>686</v>
      </c>
      <c r="E114" s="38"/>
      <c r="F114" s="72"/>
      <c r="G114" s="34">
        <v>32658</v>
      </c>
      <c r="H114" s="49">
        <v>42885</v>
      </c>
      <c r="I114" s="42">
        <f>M114</f>
        <v>22627.118644067799</v>
      </c>
      <c r="J114" s="42">
        <v>26700</v>
      </c>
      <c r="K114" s="37"/>
      <c r="L114" s="37"/>
      <c r="M114" s="42">
        <f t="shared" si="9"/>
        <v>22627.118644067799</v>
      </c>
      <c r="N114" s="42">
        <v>26700</v>
      </c>
      <c r="O114" s="36"/>
      <c r="P114" s="42">
        <f t="shared" si="7"/>
        <v>22627.118644067799</v>
      </c>
      <c r="Q114" s="42">
        <f t="shared" si="8"/>
        <v>26700</v>
      </c>
    </row>
    <row r="115" spans="1:17" s="1" customFormat="1" ht="31.5" customHeight="1" x14ac:dyDescent="0.25">
      <c r="A115" s="17"/>
      <c r="B115" s="11" t="s">
        <v>1897</v>
      </c>
      <c r="C115" s="37" t="s">
        <v>1800</v>
      </c>
      <c r="D115" s="38" t="s">
        <v>196</v>
      </c>
      <c r="E115" s="38"/>
      <c r="F115" s="72"/>
      <c r="G115" s="34">
        <v>34394</v>
      </c>
      <c r="H115" s="49">
        <v>42927</v>
      </c>
      <c r="I115" s="42">
        <f>M115</f>
        <v>11750.84745762712</v>
      </c>
      <c r="J115" s="42">
        <v>13866</v>
      </c>
      <c r="K115" s="37"/>
      <c r="L115" s="37"/>
      <c r="M115" s="42">
        <f t="shared" si="9"/>
        <v>11750.84745762712</v>
      </c>
      <c r="N115" s="42">
        <v>13866</v>
      </c>
      <c r="O115" s="36"/>
      <c r="P115" s="42">
        <f t="shared" si="7"/>
        <v>11750.84745762712</v>
      </c>
      <c r="Q115" s="42">
        <f t="shared" si="8"/>
        <v>13866</v>
      </c>
    </row>
    <row r="116" spans="1:17" s="1" customFormat="1" ht="34.5" customHeight="1" x14ac:dyDescent="0.25">
      <c r="A116" s="17"/>
      <c r="B116" s="11" t="s">
        <v>1898</v>
      </c>
      <c r="C116" s="37" t="s">
        <v>608</v>
      </c>
      <c r="D116" s="38" t="s">
        <v>607</v>
      </c>
      <c r="E116" s="38"/>
      <c r="F116" s="72"/>
      <c r="G116" s="34">
        <v>34362</v>
      </c>
      <c r="H116" s="37" t="s">
        <v>196</v>
      </c>
      <c r="I116" s="42">
        <v>84154.237288135599</v>
      </c>
      <c r="J116" s="42">
        <v>99302</v>
      </c>
      <c r="K116" s="37"/>
      <c r="L116" s="37"/>
      <c r="M116" s="42">
        <f t="shared" si="9"/>
        <v>84154.237288135599</v>
      </c>
      <c r="N116" s="42">
        <v>99302</v>
      </c>
      <c r="O116" s="36"/>
      <c r="P116" s="42">
        <f t="shared" si="7"/>
        <v>84154.237288135599</v>
      </c>
      <c r="Q116" s="42">
        <f t="shared" si="8"/>
        <v>99302</v>
      </c>
    </row>
    <row r="117" spans="1:17" s="1" customFormat="1" ht="61.5" customHeight="1" x14ac:dyDescent="0.25">
      <c r="A117" s="17"/>
      <c r="B117" s="402" t="s">
        <v>1899</v>
      </c>
      <c r="C117" s="37" t="s">
        <v>610</v>
      </c>
      <c r="D117" s="38" t="s">
        <v>609</v>
      </c>
      <c r="E117" s="38"/>
      <c r="F117" s="72"/>
      <c r="G117" s="34" t="s">
        <v>300</v>
      </c>
      <c r="H117" s="37" t="s">
        <v>276</v>
      </c>
      <c r="I117" s="42">
        <v>149537.28813559323</v>
      </c>
      <c r="J117" s="42">
        <v>176454</v>
      </c>
      <c r="K117" s="37"/>
      <c r="L117" s="37"/>
      <c r="M117" s="42">
        <f t="shared" si="9"/>
        <v>149537.28813559323</v>
      </c>
      <c r="N117" s="42">
        <v>176454</v>
      </c>
      <c r="O117" s="37"/>
      <c r="P117" s="42">
        <f t="shared" si="7"/>
        <v>149537.28813559323</v>
      </c>
      <c r="Q117" s="42">
        <f t="shared" si="8"/>
        <v>176454</v>
      </c>
    </row>
    <row r="118" spans="1:17" s="1" customFormat="1" ht="61.5" customHeight="1" x14ac:dyDescent="0.25">
      <c r="A118" s="17"/>
      <c r="B118" s="403"/>
      <c r="C118" s="37" t="s">
        <v>1766</v>
      </c>
      <c r="D118" s="53" t="s">
        <v>276</v>
      </c>
      <c r="E118" s="38"/>
      <c r="F118" s="72"/>
      <c r="G118" s="34">
        <v>4627</v>
      </c>
      <c r="H118" s="49">
        <v>42515</v>
      </c>
      <c r="I118" s="42">
        <v>92259.32</v>
      </c>
      <c r="J118" s="42">
        <v>108866</v>
      </c>
      <c r="K118" s="37"/>
      <c r="L118" s="37"/>
      <c r="M118" s="42">
        <f t="shared" si="9"/>
        <v>92259.322033898308</v>
      </c>
      <c r="N118" s="42">
        <v>108866</v>
      </c>
      <c r="O118" s="37"/>
      <c r="P118" s="42">
        <f t="shared" si="7"/>
        <v>92259.322033898308</v>
      </c>
      <c r="Q118" s="42">
        <f t="shared" si="8"/>
        <v>108866</v>
      </c>
    </row>
    <row r="119" spans="1:17" s="1" customFormat="1" ht="58.5" customHeight="1" x14ac:dyDescent="0.25">
      <c r="A119" s="125"/>
      <c r="B119" s="112" t="s">
        <v>1900</v>
      </c>
      <c r="C119" s="394" t="s">
        <v>611</v>
      </c>
      <c r="D119" s="394" t="s">
        <v>595</v>
      </c>
      <c r="E119" s="113"/>
      <c r="F119" s="72"/>
      <c r="G119" s="34" t="s">
        <v>321</v>
      </c>
      <c r="H119" s="37" t="s">
        <v>142</v>
      </c>
      <c r="I119" s="42">
        <v>999707</v>
      </c>
      <c r="J119" s="42">
        <v>999707</v>
      </c>
      <c r="K119" s="37"/>
      <c r="L119" s="37"/>
      <c r="M119" s="42">
        <v>999707</v>
      </c>
      <c r="N119" s="42">
        <v>999707</v>
      </c>
      <c r="O119" s="36"/>
      <c r="P119" s="42">
        <f t="shared" si="7"/>
        <v>999707</v>
      </c>
      <c r="Q119" s="42">
        <f t="shared" si="8"/>
        <v>999707</v>
      </c>
    </row>
    <row r="120" spans="1:17" s="1" customFormat="1" ht="44.25" customHeight="1" x14ac:dyDescent="0.25">
      <c r="A120" s="125"/>
      <c r="B120" s="112" t="s">
        <v>1901</v>
      </c>
      <c r="C120" s="395"/>
      <c r="D120" s="395"/>
      <c r="E120" s="113"/>
      <c r="F120" s="72"/>
      <c r="G120" s="34" t="s">
        <v>322</v>
      </c>
      <c r="H120" s="37" t="s">
        <v>324</v>
      </c>
      <c r="I120" s="42">
        <v>449684</v>
      </c>
      <c r="J120" s="42">
        <v>449684</v>
      </c>
      <c r="K120" s="37"/>
      <c r="L120" s="37"/>
      <c r="M120" s="42">
        <v>449684</v>
      </c>
      <c r="N120" s="42">
        <v>449684</v>
      </c>
      <c r="O120" s="36"/>
      <c r="P120" s="42">
        <f t="shared" si="7"/>
        <v>449684</v>
      </c>
      <c r="Q120" s="42">
        <f t="shared" si="8"/>
        <v>449684</v>
      </c>
    </row>
    <row r="121" spans="1:17" s="1" customFormat="1" ht="44.25" customHeight="1" x14ac:dyDescent="0.25">
      <c r="A121" s="125"/>
      <c r="B121" s="112" t="s">
        <v>1901</v>
      </c>
      <c r="C121" s="395"/>
      <c r="D121" s="395"/>
      <c r="E121" s="113"/>
      <c r="F121" s="72"/>
      <c r="G121" s="34">
        <v>15447</v>
      </c>
      <c r="H121" s="49">
        <v>42646</v>
      </c>
      <c r="I121" s="42">
        <v>218906</v>
      </c>
      <c r="J121" s="42">
        <v>218906</v>
      </c>
      <c r="K121" s="37"/>
      <c r="L121" s="37"/>
      <c r="M121" s="42">
        <v>218906</v>
      </c>
      <c r="N121" s="42">
        <v>218906</v>
      </c>
      <c r="O121" s="36"/>
      <c r="P121" s="42">
        <v>218906</v>
      </c>
      <c r="Q121" s="42">
        <f t="shared" si="8"/>
        <v>218906</v>
      </c>
    </row>
    <row r="122" spans="1:17" s="1" customFormat="1" ht="54.75" customHeight="1" x14ac:dyDescent="0.25">
      <c r="A122" s="125"/>
      <c r="B122" s="112" t="s">
        <v>1902</v>
      </c>
      <c r="C122" s="396"/>
      <c r="D122" s="396"/>
      <c r="E122" s="113"/>
      <c r="F122" s="72"/>
      <c r="G122" s="34" t="s">
        <v>323</v>
      </c>
      <c r="H122" s="37" t="s">
        <v>191</v>
      </c>
      <c r="I122" s="42">
        <v>396939</v>
      </c>
      <c r="J122" s="42">
        <v>396939</v>
      </c>
      <c r="K122" s="37"/>
      <c r="L122" s="37"/>
      <c r="M122" s="42">
        <v>396939</v>
      </c>
      <c r="N122" s="42">
        <v>396939</v>
      </c>
      <c r="O122" s="36"/>
      <c r="P122" s="42">
        <f t="shared" si="7"/>
        <v>396939</v>
      </c>
      <c r="Q122" s="42">
        <f t="shared" si="8"/>
        <v>396939</v>
      </c>
    </row>
    <row r="123" spans="1:17" s="1" customFormat="1" ht="56.25" customHeight="1" x14ac:dyDescent="0.25">
      <c r="A123" s="17"/>
      <c r="B123" s="11" t="s">
        <v>1903</v>
      </c>
      <c r="C123" s="37" t="s">
        <v>613</v>
      </c>
      <c r="D123" s="38" t="s">
        <v>612</v>
      </c>
      <c r="E123" s="38"/>
      <c r="F123" s="72"/>
      <c r="G123" s="34" t="s">
        <v>325</v>
      </c>
      <c r="H123" s="37" t="s">
        <v>128</v>
      </c>
      <c r="I123" s="42">
        <v>47796.610169491527</v>
      </c>
      <c r="J123" s="42">
        <v>56400</v>
      </c>
      <c r="K123" s="37"/>
      <c r="L123" s="37"/>
      <c r="M123" s="42">
        <f>N123/1.18</f>
        <v>47796.610169491527</v>
      </c>
      <c r="N123" s="42">
        <v>56400</v>
      </c>
      <c r="O123" s="36"/>
      <c r="P123" s="42">
        <f t="shared" si="7"/>
        <v>47796.610169491527</v>
      </c>
      <c r="Q123" s="42">
        <f t="shared" si="8"/>
        <v>56400</v>
      </c>
    </row>
    <row r="124" spans="1:17" s="1" customFormat="1" ht="46.5" customHeight="1" x14ac:dyDescent="0.25">
      <c r="A124" s="125"/>
      <c r="B124" s="112" t="s">
        <v>1904</v>
      </c>
      <c r="C124" s="89" t="s">
        <v>615</v>
      </c>
      <c r="D124" s="113" t="s">
        <v>614</v>
      </c>
      <c r="E124" s="38"/>
      <c r="F124" s="72"/>
      <c r="G124" s="34" t="s">
        <v>326</v>
      </c>
      <c r="H124" s="37" t="s">
        <v>275</v>
      </c>
      <c r="I124" s="42">
        <v>60000</v>
      </c>
      <c r="J124" s="42">
        <v>60000</v>
      </c>
      <c r="K124" s="37"/>
      <c r="L124" s="37"/>
      <c r="M124" s="42">
        <v>60000</v>
      </c>
      <c r="N124" s="42">
        <v>60000</v>
      </c>
      <c r="O124" s="36"/>
      <c r="P124" s="42">
        <f t="shared" si="7"/>
        <v>60000</v>
      </c>
      <c r="Q124" s="42">
        <f t="shared" si="8"/>
        <v>60000</v>
      </c>
    </row>
    <row r="125" spans="1:17" s="1" customFormat="1" ht="33.75" customHeight="1" x14ac:dyDescent="0.25">
      <c r="A125" s="125"/>
      <c r="B125" s="112" t="s">
        <v>1905</v>
      </c>
      <c r="C125" s="397">
        <v>501</v>
      </c>
      <c r="D125" s="394" t="s">
        <v>116</v>
      </c>
      <c r="E125" s="38"/>
      <c r="F125" s="72"/>
      <c r="G125" s="34" t="s">
        <v>327</v>
      </c>
      <c r="H125" s="37" t="s">
        <v>229</v>
      </c>
      <c r="I125" s="42">
        <v>270500</v>
      </c>
      <c r="J125" s="42">
        <v>270500</v>
      </c>
      <c r="K125" s="37"/>
      <c r="L125" s="37"/>
      <c r="M125" s="42">
        <v>270500</v>
      </c>
      <c r="N125" s="42">
        <v>270500</v>
      </c>
      <c r="O125" s="36"/>
      <c r="P125" s="42">
        <f t="shared" si="7"/>
        <v>270500</v>
      </c>
      <c r="Q125" s="42">
        <f t="shared" si="8"/>
        <v>270500</v>
      </c>
    </row>
    <row r="126" spans="1:17" s="1" customFormat="1" ht="33.75" customHeight="1" x14ac:dyDescent="0.25">
      <c r="A126" s="125"/>
      <c r="B126" s="112" t="s">
        <v>1905</v>
      </c>
      <c r="C126" s="398"/>
      <c r="D126" s="395"/>
      <c r="E126" s="38"/>
      <c r="F126" s="72"/>
      <c r="G126" s="34">
        <v>3861</v>
      </c>
      <c r="H126" s="49">
        <v>42488</v>
      </c>
      <c r="I126" s="42">
        <v>174000</v>
      </c>
      <c r="J126" s="42">
        <v>174000</v>
      </c>
      <c r="K126" s="37"/>
      <c r="L126" s="37"/>
      <c r="M126" s="42">
        <v>174000</v>
      </c>
      <c r="N126" s="42">
        <v>174000</v>
      </c>
      <c r="O126" s="36"/>
      <c r="P126" s="42">
        <f t="shared" si="7"/>
        <v>174000</v>
      </c>
      <c r="Q126" s="42">
        <f t="shared" si="8"/>
        <v>174000</v>
      </c>
    </row>
    <row r="127" spans="1:17" s="1" customFormat="1" ht="54" customHeight="1" x14ac:dyDescent="0.25">
      <c r="A127" s="125"/>
      <c r="B127" s="112" t="s">
        <v>1906</v>
      </c>
      <c r="C127" s="399"/>
      <c r="D127" s="396"/>
      <c r="E127" s="38"/>
      <c r="F127" s="72"/>
      <c r="G127" s="34" t="s">
        <v>328</v>
      </c>
      <c r="H127" s="37" t="s">
        <v>119</v>
      </c>
      <c r="I127" s="42">
        <v>270500</v>
      </c>
      <c r="J127" s="42">
        <v>270500</v>
      </c>
      <c r="K127" s="37"/>
      <c r="L127" s="37"/>
      <c r="M127" s="42">
        <v>270500</v>
      </c>
      <c r="N127" s="42">
        <v>270500</v>
      </c>
      <c r="O127" s="36"/>
      <c r="P127" s="42">
        <f t="shared" si="7"/>
        <v>270500</v>
      </c>
      <c r="Q127" s="42">
        <f t="shared" si="8"/>
        <v>270500</v>
      </c>
    </row>
    <row r="128" spans="1:17" s="1" customFormat="1" ht="54.75" customHeight="1" x14ac:dyDescent="0.25">
      <c r="A128" s="125"/>
      <c r="B128" s="112" t="s">
        <v>1907</v>
      </c>
      <c r="C128" s="89" t="s">
        <v>616</v>
      </c>
      <c r="D128" s="113" t="s">
        <v>255</v>
      </c>
      <c r="E128" s="38"/>
      <c r="F128" s="72"/>
      <c r="G128" s="34" t="s">
        <v>329</v>
      </c>
      <c r="H128" s="37" t="s">
        <v>142</v>
      </c>
      <c r="I128" s="42">
        <v>90000</v>
      </c>
      <c r="J128" s="42">
        <v>90000</v>
      </c>
      <c r="K128" s="37"/>
      <c r="L128" s="37"/>
      <c r="M128" s="42">
        <v>90000</v>
      </c>
      <c r="N128" s="42">
        <v>90000</v>
      </c>
      <c r="O128" s="36"/>
      <c r="P128" s="42">
        <f t="shared" si="7"/>
        <v>90000</v>
      </c>
      <c r="Q128" s="42">
        <f t="shared" si="8"/>
        <v>90000</v>
      </c>
    </row>
    <row r="129" spans="1:17" s="1" customFormat="1" ht="54.75" customHeight="1" x14ac:dyDescent="0.25">
      <c r="A129" s="125"/>
      <c r="B129" s="112" t="s">
        <v>1907</v>
      </c>
      <c r="C129" s="89" t="s">
        <v>616</v>
      </c>
      <c r="D129" s="113" t="s">
        <v>255</v>
      </c>
      <c r="E129" s="38"/>
      <c r="F129" s="72"/>
      <c r="G129" s="34">
        <v>13192</v>
      </c>
      <c r="H129" s="49">
        <v>42573</v>
      </c>
      <c r="I129" s="42">
        <v>999707</v>
      </c>
      <c r="J129" s="42">
        <v>999707</v>
      </c>
      <c r="K129" s="37"/>
      <c r="L129" s="37"/>
      <c r="M129" s="42">
        <v>999707</v>
      </c>
      <c r="N129" s="42">
        <v>999707</v>
      </c>
      <c r="O129" s="36"/>
      <c r="P129" s="42">
        <f t="shared" si="7"/>
        <v>999707</v>
      </c>
      <c r="Q129" s="42">
        <f t="shared" si="8"/>
        <v>999707</v>
      </c>
    </row>
    <row r="130" spans="1:17" s="1" customFormat="1" ht="54.75" customHeight="1" x14ac:dyDescent="0.25">
      <c r="A130" s="125"/>
      <c r="B130" s="112" t="s">
        <v>1907</v>
      </c>
      <c r="C130" s="89" t="s">
        <v>616</v>
      </c>
      <c r="D130" s="113" t="s">
        <v>255</v>
      </c>
      <c r="E130" s="38"/>
      <c r="F130" s="72"/>
      <c r="G130" s="34">
        <v>13191</v>
      </c>
      <c r="H130" s="49">
        <v>42573</v>
      </c>
      <c r="I130" s="42">
        <v>60000</v>
      </c>
      <c r="J130" s="42">
        <v>60000</v>
      </c>
      <c r="K130" s="37"/>
      <c r="L130" s="37"/>
      <c r="M130" s="42">
        <v>60000</v>
      </c>
      <c r="N130" s="42">
        <v>60000</v>
      </c>
      <c r="O130" s="36"/>
      <c r="P130" s="42">
        <f t="shared" si="7"/>
        <v>60000</v>
      </c>
      <c r="Q130" s="42">
        <f t="shared" si="8"/>
        <v>60000</v>
      </c>
    </row>
    <row r="131" spans="1:17" s="1" customFormat="1" ht="54.75" customHeight="1" x14ac:dyDescent="0.25">
      <c r="A131" s="125"/>
      <c r="B131" s="112" t="s">
        <v>1907</v>
      </c>
      <c r="C131" s="89" t="s">
        <v>616</v>
      </c>
      <c r="D131" s="113" t="s">
        <v>255</v>
      </c>
      <c r="E131" s="38"/>
      <c r="F131" s="72"/>
      <c r="G131" s="34">
        <v>14540</v>
      </c>
      <c r="H131" s="49">
        <v>42612</v>
      </c>
      <c r="I131" s="42">
        <v>90000</v>
      </c>
      <c r="J131" s="42">
        <v>90000</v>
      </c>
      <c r="K131" s="37"/>
      <c r="L131" s="37"/>
      <c r="M131" s="42">
        <v>90000</v>
      </c>
      <c r="N131" s="42">
        <v>90000</v>
      </c>
      <c r="O131" s="36"/>
      <c r="P131" s="42">
        <f t="shared" si="7"/>
        <v>90000</v>
      </c>
      <c r="Q131" s="42">
        <f t="shared" si="8"/>
        <v>90000</v>
      </c>
    </row>
    <row r="132" spans="1:17" s="1" customFormat="1" ht="54.75" customHeight="1" x14ac:dyDescent="0.25">
      <c r="A132" s="125"/>
      <c r="B132" s="112" t="s">
        <v>1907</v>
      </c>
      <c r="C132" s="89" t="s">
        <v>616</v>
      </c>
      <c r="D132" s="113" t="s">
        <v>255</v>
      </c>
      <c r="E132" s="38"/>
      <c r="F132" s="72"/>
      <c r="G132" s="34">
        <v>13193</v>
      </c>
      <c r="H132" s="49">
        <v>42573</v>
      </c>
      <c r="I132" s="42">
        <v>203087.77</v>
      </c>
      <c r="J132" s="42">
        <v>203087.77</v>
      </c>
      <c r="K132" s="37"/>
      <c r="L132" s="37"/>
      <c r="M132" s="42">
        <v>203087.77</v>
      </c>
      <c r="N132" s="42">
        <v>203087.77</v>
      </c>
      <c r="O132" s="36"/>
      <c r="P132" s="42">
        <f t="shared" si="7"/>
        <v>203087.77</v>
      </c>
      <c r="Q132" s="42">
        <f t="shared" si="8"/>
        <v>203087.77</v>
      </c>
    </row>
    <row r="133" spans="1:17" s="1" customFormat="1" ht="33" customHeight="1" x14ac:dyDescent="0.25">
      <c r="A133" s="125"/>
      <c r="B133" s="112" t="s">
        <v>1908</v>
      </c>
      <c r="C133" s="89" t="s">
        <v>618</v>
      </c>
      <c r="D133" s="113" t="s">
        <v>617</v>
      </c>
      <c r="E133" s="38"/>
      <c r="F133" s="72"/>
      <c r="G133" s="34" t="s">
        <v>330</v>
      </c>
      <c r="H133" s="37" t="s">
        <v>331</v>
      </c>
      <c r="I133" s="42">
        <v>70000</v>
      </c>
      <c r="J133" s="42">
        <v>70000</v>
      </c>
      <c r="K133" s="37"/>
      <c r="L133" s="37"/>
      <c r="M133" s="42">
        <v>70000</v>
      </c>
      <c r="N133" s="42">
        <v>70000</v>
      </c>
      <c r="O133" s="36"/>
      <c r="P133" s="42">
        <f t="shared" si="7"/>
        <v>70000</v>
      </c>
      <c r="Q133" s="42">
        <f t="shared" si="8"/>
        <v>70000</v>
      </c>
    </row>
    <row r="134" spans="1:17" s="1" customFormat="1" ht="33" customHeight="1" x14ac:dyDescent="0.25">
      <c r="A134" s="125"/>
      <c r="B134" s="112" t="s">
        <v>1908</v>
      </c>
      <c r="C134" s="89" t="s">
        <v>618</v>
      </c>
      <c r="D134" s="113" t="s">
        <v>617</v>
      </c>
      <c r="E134" s="38"/>
      <c r="F134" s="72"/>
      <c r="G134" s="34">
        <v>14543</v>
      </c>
      <c r="H134" s="49">
        <v>42612</v>
      </c>
      <c r="I134" s="42">
        <v>174000</v>
      </c>
      <c r="J134" s="42">
        <v>174000</v>
      </c>
      <c r="K134" s="37"/>
      <c r="L134" s="37"/>
      <c r="M134" s="42">
        <v>174000</v>
      </c>
      <c r="N134" s="42">
        <v>174000</v>
      </c>
      <c r="O134" s="36"/>
      <c r="P134" s="42">
        <f t="shared" si="7"/>
        <v>174000</v>
      </c>
      <c r="Q134" s="42">
        <f t="shared" si="8"/>
        <v>174000</v>
      </c>
    </row>
    <row r="135" spans="1:17" s="1" customFormat="1" ht="33" customHeight="1" x14ac:dyDescent="0.25">
      <c r="A135" s="125"/>
      <c r="B135" s="112" t="s">
        <v>1908</v>
      </c>
      <c r="C135" s="89" t="s">
        <v>618</v>
      </c>
      <c r="D135" s="113" t="s">
        <v>617</v>
      </c>
      <c r="E135" s="38"/>
      <c r="F135" s="72"/>
      <c r="G135" s="34">
        <v>14542</v>
      </c>
      <c r="H135" s="49">
        <v>42612</v>
      </c>
      <c r="I135" s="42">
        <v>140000</v>
      </c>
      <c r="J135" s="42">
        <v>140000</v>
      </c>
      <c r="K135" s="37"/>
      <c r="L135" s="37"/>
      <c r="M135" s="42">
        <v>140000</v>
      </c>
      <c r="N135" s="42">
        <v>140000</v>
      </c>
      <c r="O135" s="36"/>
      <c r="P135" s="42">
        <f t="shared" si="7"/>
        <v>140000</v>
      </c>
      <c r="Q135" s="42">
        <f t="shared" si="8"/>
        <v>140000</v>
      </c>
    </row>
    <row r="136" spans="1:17" s="1" customFormat="1" ht="33" customHeight="1" x14ac:dyDescent="0.25">
      <c r="A136" s="125"/>
      <c r="B136" s="112" t="s">
        <v>1908</v>
      </c>
      <c r="C136" s="89" t="s">
        <v>618</v>
      </c>
      <c r="D136" s="113" t="s">
        <v>617</v>
      </c>
      <c r="E136" s="38"/>
      <c r="F136" s="72"/>
      <c r="G136" s="34">
        <v>14539</v>
      </c>
      <c r="H136" s="49">
        <v>42612</v>
      </c>
      <c r="I136" s="42">
        <v>60000</v>
      </c>
      <c r="J136" s="42">
        <v>60000</v>
      </c>
      <c r="K136" s="37"/>
      <c r="L136" s="37"/>
      <c r="M136" s="42">
        <v>60000</v>
      </c>
      <c r="N136" s="42">
        <v>60000</v>
      </c>
      <c r="O136" s="36"/>
      <c r="P136" s="42">
        <f t="shared" si="7"/>
        <v>60000</v>
      </c>
      <c r="Q136" s="42">
        <f t="shared" si="8"/>
        <v>60000</v>
      </c>
    </row>
    <row r="137" spans="1:17" s="1" customFormat="1" ht="53.25" customHeight="1" x14ac:dyDescent="0.25">
      <c r="A137" s="125"/>
      <c r="B137" s="112" t="s">
        <v>1909</v>
      </c>
      <c r="C137" s="89" t="s">
        <v>620</v>
      </c>
      <c r="D137" s="113" t="s">
        <v>619</v>
      </c>
      <c r="E137" s="38"/>
      <c r="F137" s="72"/>
      <c r="G137" s="34" t="s">
        <v>333</v>
      </c>
      <c r="H137" s="37" t="s">
        <v>232</v>
      </c>
      <c r="I137" s="42">
        <v>50000</v>
      </c>
      <c r="J137" s="42">
        <v>50000</v>
      </c>
      <c r="K137" s="37"/>
      <c r="L137" s="37"/>
      <c r="M137" s="42">
        <v>50000</v>
      </c>
      <c r="N137" s="42">
        <v>50000</v>
      </c>
      <c r="O137" s="36"/>
      <c r="P137" s="42">
        <f t="shared" si="7"/>
        <v>50000</v>
      </c>
      <c r="Q137" s="42">
        <f t="shared" si="8"/>
        <v>50000</v>
      </c>
    </row>
    <row r="138" spans="1:17" s="1" customFormat="1" ht="31.5" customHeight="1" x14ac:dyDescent="0.25">
      <c r="A138" s="125"/>
      <c r="B138" s="112" t="s">
        <v>1910</v>
      </c>
      <c r="C138" s="89" t="s">
        <v>620</v>
      </c>
      <c r="D138" s="113" t="s">
        <v>619</v>
      </c>
      <c r="E138" s="38"/>
      <c r="F138" s="72"/>
      <c r="G138" s="34" t="s">
        <v>334</v>
      </c>
      <c r="H138" s="37" t="s">
        <v>274</v>
      </c>
      <c r="I138" s="42">
        <v>50000</v>
      </c>
      <c r="J138" s="42">
        <v>50000</v>
      </c>
      <c r="K138" s="37"/>
      <c r="L138" s="37"/>
      <c r="M138" s="42">
        <v>50000</v>
      </c>
      <c r="N138" s="42">
        <v>50000</v>
      </c>
      <c r="O138" s="36"/>
      <c r="P138" s="42">
        <f t="shared" si="7"/>
        <v>50000</v>
      </c>
      <c r="Q138" s="42">
        <f t="shared" si="8"/>
        <v>50000</v>
      </c>
    </row>
    <row r="139" spans="1:17" s="1" customFormat="1" ht="33" customHeight="1" x14ac:dyDescent="0.25">
      <c r="A139" s="125"/>
      <c r="B139" s="112" t="s">
        <v>1911</v>
      </c>
      <c r="C139" s="89" t="s">
        <v>622</v>
      </c>
      <c r="D139" s="113" t="s">
        <v>621</v>
      </c>
      <c r="E139" s="38"/>
      <c r="F139" s="72"/>
      <c r="G139" s="34" t="s">
        <v>335</v>
      </c>
      <c r="H139" s="37" t="s">
        <v>106</v>
      </c>
      <c r="I139" s="42">
        <v>70000</v>
      </c>
      <c r="J139" s="42">
        <v>70000</v>
      </c>
      <c r="K139" s="37"/>
      <c r="L139" s="37"/>
      <c r="M139" s="42">
        <v>70000</v>
      </c>
      <c r="N139" s="42">
        <v>70000</v>
      </c>
      <c r="O139" s="36"/>
      <c r="P139" s="42">
        <f t="shared" si="7"/>
        <v>70000</v>
      </c>
      <c r="Q139" s="42">
        <f t="shared" si="8"/>
        <v>70000</v>
      </c>
    </row>
    <row r="140" spans="1:17" s="1" customFormat="1" ht="54" customHeight="1" x14ac:dyDescent="0.25">
      <c r="A140" s="125"/>
      <c r="B140" s="112" t="s">
        <v>1912</v>
      </c>
      <c r="C140" s="89" t="s">
        <v>624</v>
      </c>
      <c r="D140" s="113" t="s">
        <v>623</v>
      </c>
      <c r="E140" s="38"/>
      <c r="F140" s="72"/>
      <c r="G140" s="85" t="s">
        <v>336</v>
      </c>
      <c r="H140" s="86" t="s">
        <v>203</v>
      </c>
      <c r="I140" s="87">
        <v>140000</v>
      </c>
      <c r="J140" s="87">
        <v>140000</v>
      </c>
      <c r="K140" s="37"/>
      <c r="L140" s="37"/>
      <c r="M140" s="42">
        <v>140000</v>
      </c>
      <c r="N140" s="42">
        <v>140000</v>
      </c>
      <c r="O140" s="36"/>
      <c r="P140" s="42">
        <f t="shared" si="7"/>
        <v>140000</v>
      </c>
      <c r="Q140" s="42">
        <f t="shared" si="8"/>
        <v>140000</v>
      </c>
    </row>
    <row r="141" spans="1:17" s="1" customFormat="1" ht="32.25" customHeight="1" x14ac:dyDescent="0.25">
      <c r="A141" s="125"/>
      <c r="B141" s="112" t="s">
        <v>1912</v>
      </c>
      <c r="C141" s="89" t="s">
        <v>625</v>
      </c>
      <c r="D141" s="113" t="s">
        <v>623</v>
      </c>
      <c r="E141" s="38"/>
      <c r="F141" s="72"/>
      <c r="G141" s="85" t="s">
        <v>337</v>
      </c>
      <c r="H141" s="86" t="s">
        <v>203</v>
      </c>
      <c r="I141" s="87">
        <v>120000</v>
      </c>
      <c r="J141" s="87">
        <v>120000</v>
      </c>
      <c r="K141" s="37"/>
      <c r="L141" s="37"/>
      <c r="M141" s="42">
        <v>120000</v>
      </c>
      <c r="N141" s="42">
        <v>120000</v>
      </c>
      <c r="O141" s="36"/>
      <c r="P141" s="42">
        <f t="shared" si="7"/>
        <v>120000</v>
      </c>
      <c r="Q141" s="42">
        <f t="shared" si="8"/>
        <v>120000</v>
      </c>
    </row>
    <row r="142" spans="1:17" s="1" customFormat="1" ht="53.25" customHeight="1" x14ac:dyDescent="0.25">
      <c r="A142" s="125"/>
      <c r="B142" s="112" t="s">
        <v>1913</v>
      </c>
      <c r="C142" s="89" t="s">
        <v>626</v>
      </c>
      <c r="D142" s="113" t="s">
        <v>623</v>
      </c>
      <c r="E142" s="38"/>
      <c r="F142" s="72"/>
      <c r="G142" s="85" t="s">
        <v>338</v>
      </c>
      <c r="H142" s="86" t="s">
        <v>203</v>
      </c>
      <c r="I142" s="87">
        <v>70000</v>
      </c>
      <c r="J142" s="87">
        <v>70000</v>
      </c>
      <c r="K142" s="37"/>
      <c r="L142" s="37"/>
      <c r="M142" s="42">
        <v>70000</v>
      </c>
      <c r="N142" s="42">
        <v>70000</v>
      </c>
      <c r="O142" s="36"/>
      <c r="P142" s="42">
        <f t="shared" si="7"/>
        <v>70000</v>
      </c>
      <c r="Q142" s="42">
        <f t="shared" si="8"/>
        <v>70000</v>
      </c>
    </row>
    <row r="143" spans="1:17" s="1" customFormat="1" ht="43.5" customHeight="1" x14ac:dyDescent="0.25">
      <c r="A143" s="125"/>
      <c r="B143" s="112" t="s">
        <v>1914</v>
      </c>
      <c r="C143" s="89" t="s">
        <v>628</v>
      </c>
      <c r="D143" s="113" t="s">
        <v>627</v>
      </c>
      <c r="E143" s="38"/>
      <c r="F143" s="72"/>
      <c r="G143" s="85" t="s">
        <v>339</v>
      </c>
      <c r="H143" s="86" t="s">
        <v>173</v>
      </c>
      <c r="I143" s="87">
        <v>56000</v>
      </c>
      <c r="J143" s="87">
        <v>56000</v>
      </c>
      <c r="K143" s="37"/>
      <c r="L143" s="37"/>
      <c r="M143" s="42">
        <v>56000</v>
      </c>
      <c r="N143" s="42">
        <v>56000</v>
      </c>
      <c r="O143" s="36"/>
      <c r="P143" s="42">
        <f t="shared" si="7"/>
        <v>56000</v>
      </c>
      <c r="Q143" s="42">
        <f t="shared" si="8"/>
        <v>56000</v>
      </c>
    </row>
    <row r="144" spans="1:17" s="1" customFormat="1" ht="36" customHeight="1" x14ac:dyDescent="0.25">
      <c r="A144" s="125"/>
      <c r="B144" s="112" t="s">
        <v>1915</v>
      </c>
      <c r="C144" s="89" t="s">
        <v>630</v>
      </c>
      <c r="D144" s="113" t="s">
        <v>629</v>
      </c>
      <c r="E144" s="38"/>
      <c r="F144" s="72"/>
      <c r="G144" s="85" t="s">
        <v>340</v>
      </c>
      <c r="H144" s="86" t="s">
        <v>123</v>
      </c>
      <c r="I144" s="87">
        <v>25000</v>
      </c>
      <c r="J144" s="87">
        <v>25000</v>
      </c>
      <c r="K144" s="37"/>
      <c r="L144" s="37"/>
      <c r="M144" s="42">
        <v>25000</v>
      </c>
      <c r="N144" s="42">
        <v>25000</v>
      </c>
      <c r="O144" s="36"/>
      <c r="P144" s="42">
        <f t="shared" si="7"/>
        <v>25000</v>
      </c>
      <c r="Q144" s="42">
        <f t="shared" si="8"/>
        <v>25000</v>
      </c>
    </row>
    <row r="145" spans="1:17" s="1" customFormat="1" ht="36" customHeight="1" x14ac:dyDescent="0.25">
      <c r="A145" s="125"/>
      <c r="B145" s="112" t="s">
        <v>1915</v>
      </c>
      <c r="C145" s="126" t="s">
        <v>1793</v>
      </c>
      <c r="D145" s="127" t="s">
        <v>1794</v>
      </c>
      <c r="E145" s="38"/>
      <c r="F145" s="72"/>
      <c r="G145" s="34">
        <v>40083</v>
      </c>
      <c r="H145" s="49">
        <v>42948</v>
      </c>
      <c r="I145" s="42">
        <v>130000</v>
      </c>
      <c r="J145" s="42">
        <v>130000</v>
      </c>
      <c r="K145" s="37"/>
      <c r="L145" s="37"/>
      <c r="M145" s="42">
        <v>130000</v>
      </c>
      <c r="N145" s="42">
        <v>130000</v>
      </c>
      <c r="O145" s="36"/>
      <c r="P145" s="42">
        <f t="shared" si="7"/>
        <v>130000</v>
      </c>
      <c r="Q145" s="42">
        <f t="shared" si="8"/>
        <v>130000</v>
      </c>
    </row>
    <row r="146" spans="1:17" s="1" customFormat="1" ht="25.5" customHeight="1" x14ac:dyDescent="0.25">
      <c r="A146" s="17"/>
      <c r="B146" s="11" t="s">
        <v>1916</v>
      </c>
      <c r="C146" s="412" t="s">
        <v>632</v>
      </c>
      <c r="D146" s="412" t="s">
        <v>631</v>
      </c>
      <c r="E146" s="38"/>
      <c r="F146" s="72"/>
      <c r="G146" s="34" t="s">
        <v>344</v>
      </c>
      <c r="H146" s="37" t="s">
        <v>104</v>
      </c>
      <c r="I146" s="42">
        <v>524505</v>
      </c>
      <c r="J146" s="42">
        <v>524505</v>
      </c>
      <c r="K146" s="37"/>
      <c r="L146" s="37"/>
      <c r="M146" s="42">
        <v>524505</v>
      </c>
      <c r="N146" s="42">
        <v>524505</v>
      </c>
      <c r="O146" s="36"/>
      <c r="P146" s="42">
        <f t="shared" si="7"/>
        <v>524505</v>
      </c>
      <c r="Q146" s="42">
        <f t="shared" si="8"/>
        <v>524505</v>
      </c>
    </row>
    <row r="147" spans="1:17" s="1" customFormat="1" ht="25.5" customHeight="1" x14ac:dyDescent="0.25">
      <c r="A147" s="17"/>
      <c r="B147" s="11" t="s">
        <v>1916</v>
      </c>
      <c r="C147" s="413"/>
      <c r="D147" s="413"/>
      <c r="E147" s="38"/>
      <c r="F147" s="72"/>
      <c r="G147" s="34" t="s">
        <v>345</v>
      </c>
      <c r="H147" s="37" t="s">
        <v>104</v>
      </c>
      <c r="I147" s="42">
        <v>1777230</v>
      </c>
      <c r="J147" s="42">
        <v>1777230</v>
      </c>
      <c r="K147" s="37"/>
      <c r="L147" s="37"/>
      <c r="M147" s="42">
        <v>1777230</v>
      </c>
      <c r="N147" s="42">
        <v>1777230</v>
      </c>
      <c r="O147" s="36"/>
      <c r="P147" s="42">
        <f t="shared" si="7"/>
        <v>1777230</v>
      </c>
      <c r="Q147" s="42">
        <f t="shared" si="8"/>
        <v>1777230</v>
      </c>
    </row>
    <row r="148" spans="1:17" s="1" customFormat="1" ht="25.5" customHeight="1" x14ac:dyDescent="0.25">
      <c r="A148" s="17"/>
      <c r="B148" s="11" t="s">
        <v>1916</v>
      </c>
      <c r="C148" s="414"/>
      <c r="D148" s="414"/>
      <c r="E148" s="38"/>
      <c r="F148" s="72"/>
      <c r="G148" s="34" t="s">
        <v>346</v>
      </c>
      <c r="H148" s="37" t="s">
        <v>232</v>
      </c>
      <c r="I148" s="42">
        <v>2333141</v>
      </c>
      <c r="J148" s="42">
        <v>2333141</v>
      </c>
      <c r="K148" s="37"/>
      <c r="L148" s="37"/>
      <c r="M148" s="42">
        <v>2333141</v>
      </c>
      <c r="N148" s="42">
        <v>2333141</v>
      </c>
      <c r="O148" s="36"/>
      <c r="P148" s="42">
        <f t="shared" si="7"/>
        <v>2333141</v>
      </c>
      <c r="Q148" s="42">
        <f t="shared" si="8"/>
        <v>2333141</v>
      </c>
    </row>
    <row r="149" spans="1:17" s="1" customFormat="1" ht="29.25" customHeight="1" x14ac:dyDescent="0.25">
      <c r="A149" s="17"/>
      <c r="B149" s="11" t="s">
        <v>1917</v>
      </c>
      <c r="C149" s="49">
        <v>42125</v>
      </c>
      <c r="D149" s="38" t="s">
        <v>633</v>
      </c>
      <c r="E149" s="38"/>
      <c r="F149" s="72"/>
      <c r="G149" s="34" t="s">
        <v>347</v>
      </c>
      <c r="H149" s="37" t="s">
        <v>179</v>
      </c>
      <c r="I149" s="42">
        <v>364406.77966101695</v>
      </c>
      <c r="J149" s="42">
        <v>430000</v>
      </c>
      <c r="K149" s="37"/>
      <c r="L149" s="37"/>
      <c r="M149" s="42">
        <f>N149/1.18</f>
        <v>364406.77966101695</v>
      </c>
      <c r="N149" s="42">
        <v>430000</v>
      </c>
      <c r="O149" s="36"/>
      <c r="P149" s="42">
        <f t="shared" si="7"/>
        <v>364406.77966101695</v>
      </c>
      <c r="Q149" s="42">
        <f t="shared" si="8"/>
        <v>430000</v>
      </c>
    </row>
    <row r="150" spans="1:17" s="1" customFormat="1" ht="32.25" customHeight="1" x14ac:dyDescent="0.25">
      <c r="A150" s="17"/>
      <c r="B150" s="11" t="s">
        <v>1918</v>
      </c>
      <c r="C150" s="37" t="s">
        <v>635</v>
      </c>
      <c r="D150" s="38" t="s">
        <v>634</v>
      </c>
      <c r="E150" s="38"/>
      <c r="F150" s="72"/>
      <c r="G150" s="85" t="s">
        <v>350</v>
      </c>
      <c r="H150" s="86" t="s">
        <v>202</v>
      </c>
      <c r="I150" s="87">
        <v>4237288.1355932206</v>
      </c>
      <c r="J150" s="87">
        <v>5000000</v>
      </c>
      <c r="K150" s="37"/>
      <c r="L150" s="37"/>
      <c r="M150" s="42">
        <f t="shared" ref="M150:M182" si="10">N150/1.18</f>
        <v>4237288.1355932206</v>
      </c>
      <c r="N150" s="42">
        <v>5000000</v>
      </c>
      <c r="O150" s="36"/>
      <c r="P150" s="42">
        <f t="shared" si="7"/>
        <v>4237288.1355932206</v>
      </c>
      <c r="Q150" s="42">
        <f t="shared" si="8"/>
        <v>5000000</v>
      </c>
    </row>
    <row r="151" spans="1:17" s="1" customFormat="1" ht="32.25" customHeight="1" x14ac:dyDescent="0.25">
      <c r="A151" s="17"/>
      <c r="B151" s="11" t="s">
        <v>1919</v>
      </c>
      <c r="C151" s="37" t="s">
        <v>637</v>
      </c>
      <c r="D151" s="38" t="s">
        <v>636</v>
      </c>
      <c r="E151" s="38"/>
      <c r="F151" s="72"/>
      <c r="G151" s="85" t="s">
        <v>351</v>
      </c>
      <c r="H151" s="86" t="s">
        <v>257</v>
      </c>
      <c r="I151" s="87">
        <v>135313.55932203389</v>
      </c>
      <c r="J151" s="87">
        <v>159670</v>
      </c>
      <c r="K151" s="37"/>
      <c r="L151" s="37"/>
      <c r="M151" s="42">
        <f t="shared" si="10"/>
        <v>135313.55932203389</v>
      </c>
      <c r="N151" s="42">
        <v>159670</v>
      </c>
      <c r="O151" s="36"/>
      <c r="P151" s="42">
        <f t="shared" si="7"/>
        <v>135313.55932203389</v>
      </c>
      <c r="Q151" s="42">
        <f t="shared" si="8"/>
        <v>159670</v>
      </c>
    </row>
    <row r="152" spans="1:17" s="1" customFormat="1" ht="32.25" customHeight="1" x14ac:dyDescent="0.25">
      <c r="A152" s="17"/>
      <c r="B152" s="11" t="s">
        <v>1920</v>
      </c>
      <c r="C152" s="37" t="s">
        <v>638</v>
      </c>
      <c r="D152" s="38" t="s">
        <v>634</v>
      </c>
      <c r="E152" s="38"/>
      <c r="F152" s="72"/>
      <c r="G152" s="34" t="s">
        <v>352</v>
      </c>
      <c r="H152" s="37" t="s">
        <v>120</v>
      </c>
      <c r="I152" s="42">
        <v>1694915.2542372881</v>
      </c>
      <c r="J152" s="42">
        <v>2000000</v>
      </c>
      <c r="K152" s="37"/>
      <c r="L152" s="37"/>
      <c r="M152" s="42">
        <f t="shared" si="10"/>
        <v>1694915.2542372881</v>
      </c>
      <c r="N152" s="42">
        <v>2000000</v>
      </c>
      <c r="O152" s="36"/>
      <c r="P152" s="42">
        <f t="shared" si="7"/>
        <v>1694915.2542372881</v>
      </c>
      <c r="Q152" s="42">
        <f t="shared" si="8"/>
        <v>2000000</v>
      </c>
    </row>
    <row r="153" spans="1:17" s="1" customFormat="1" ht="32.25" customHeight="1" x14ac:dyDescent="0.25">
      <c r="A153" s="17"/>
      <c r="B153" s="11" t="s">
        <v>1921</v>
      </c>
      <c r="C153" s="37" t="s">
        <v>640</v>
      </c>
      <c r="D153" s="38" t="s">
        <v>639</v>
      </c>
      <c r="E153" s="38"/>
      <c r="F153" s="72"/>
      <c r="G153" s="34" t="s">
        <v>353</v>
      </c>
      <c r="H153" s="37" t="s">
        <v>258</v>
      </c>
      <c r="I153" s="42">
        <v>1186440.6779661018</v>
      </c>
      <c r="J153" s="42">
        <v>1400000</v>
      </c>
      <c r="K153" s="37"/>
      <c r="L153" s="37"/>
      <c r="M153" s="42">
        <f t="shared" si="10"/>
        <v>1186440.6779661018</v>
      </c>
      <c r="N153" s="42">
        <v>1400000</v>
      </c>
      <c r="O153" s="36"/>
      <c r="P153" s="42">
        <f t="shared" si="7"/>
        <v>1186440.6779661018</v>
      </c>
      <c r="Q153" s="42">
        <f t="shared" si="8"/>
        <v>1400000</v>
      </c>
    </row>
    <row r="154" spans="1:17" s="1" customFormat="1" ht="32.25" customHeight="1" x14ac:dyDescent="0.25">
      <c r="A154" s="17"/>
      <c r="B154" s="11" t="s">
        <v>1922</v>
      </c>
      <c r="C154" s="37" t="s">
        <v>642</v>
      </c>
      <c r="D154" s="38" t="s">
        <v>641</v>
      </c>
      <c r="E154" s="38"/>
      <c r="F154" s="72"/>
      <c r="G154" s="34" t="s">
        <v>354</v>
      </c>
      <c r="H154" s="37" t="s">
        <v>357</v>
      </c>
      <c r="I154" s="42">
        <v>1271186.4406779662</v>
      </c>
      <c r="J154" s="42">
        <v>1500000</v>
      </c>
      <c r="K154" s="37"/>
      <c r="L154" s="37"/>
      <c r="M154" s="42">
        <f t="shared" si="10"/>
        <v>1271186.4406779662</v>
      </c>
      <c r="N154" s="42">
        <v>1500000</v>
      </c>
      <c r="O154" s="36"/>
      <c r="P154" s="42">
        <f t="shared" si="7"/>
        <v>1271186.4406779662</v>
      </c>
      <c r="Q154" s="42">
        <f t="shared" si="8"/>
        <v>1500000</v>
      </c>
    </row>
    <row r="155" spans="1:17" s="1" customFormat="1" ht="32.25" customHeight="1" x14ac:dyDescent="0.25">
      <c r="A155" s="17"/>
      <c r="B155" s="11" t="s">
        <v>1919</v>
      </c>
      <c r="C155" s="37" t="s">
        <v>644</v>
      </c>
      <c r="D155" s="38" t="s">
        <v>643</v>
      </c>
      <c r="E155" s="38"/>
      <c r="F155" s="72"/>
      <c r="G155" s="34" t="s">
        <v>355</v>
      </c>
      <c r="H155" s="37" t="s">
        <v>357</v>
      </c>
      <c r="I155" s="42">
        <v>202970.33898305087</v>
      </c>
      <c r="J155" s="42">
        <v>239505</v>
      </c>
      <c r="K155" s="37"/>
      <c r="L155" s="37"/>
      <c r="M155" s="42">
        <f t="shared" si="10"/>
        <v>202970.33898305087</v>
      </c>
      <c r="N155" s="42">
        <v>239505</v>
      </c>
      <c r="O155" s="36"/>
      <c r="P155" s="42">
        <f t="shared" si="7"/>
        <v>202970.33898305087</v>
      </c>
      <c r="Q155" s="42">
        <f t="shared" si="8"/>
        <v>239505</v>
      </c>
    </row>
    <row r="156" spans="1:17" s="1" customFormat="1" ht="32.25" customHeight="1" x14ac:dyDescent="0.25">
      <c r="A156" s="17"/>
      <c r="B156" s="11" t="s">
        <v>1923</v>
      </c>
      <c r="C156" s="37" t="s">
        <v>646</v>
      </c>
      <c r="D156" s="38" t="s">
        <v>645</v>
      </c>
      <c r="E156" s="38"/>
      <c r="F156" s="72"/>
      <c r="G156" s="85" t="s">
        <v>356</v>
      </c>
      <c r="H156" s="86" t="s">
        <v>173</v>
      </c>
      <c r="I156" s="87">
        <v>593220.3389830509</v>
      </c>
      <c r="J156" s="87">
        <v>700000</v>
      </c>
      <c r="K156" s="37"/>
      <c r="L156" s="37"/>
      <c r="M156" s="42">
        <f t="shared" si="10"/>
        <v>593220.3389830509</v>
      </c>
      <c r="N156" s="42">
        <v>700000</v>
      </c>
      <c r="O156" s="36"/>
      <c r="P156" s="42">
        <f t="shared" si="7"/>
        <v>593220.3389830509</v>
      </c>
      <c r="Q156" s="42">
        <f t="shared" si="8"/>
        <v>700000</v>
      </c>
    </row>
    <row r="157" spans="1:17" s="1" customFormat="1" ht="24" customHeight="1" x14ac:dyDescent="0.25">
      <c r="A157" s="17"/>
      <c r="B157" s="11" t="s">
        <v>1924</v>
      </c>
      <c r="C157" s="37" t="s">
        <v>648</v>
      </c>
      <c r="D157" s="38" t="s">
        <v>647</v>
      </c>
      <c r="E157" s="38"/>
      <c r="F157" s="72"/>
      <c r="G157" s="34" t="s">
        <v>358</v>
      </c>
      <c r="H157" s="37" t="s">
        <v>360</v>
      </c>
      <c r="I157" s="42">
        <v>1708350</v>
      </c>
      <c r="J157" s="42">
        <v>2015853</v>
      </c>
      <c r="K157" s="37"/>
      <c r="L157" s="37"/>
      <c r="M157" s="42">
        <f t="shared" si="10"/>
        <v>1708350</v>
      </c>
      <c r="N157" s="42">
        <v>2015853</v>
      </c>
      <c r="O157" s="36"/>
      <c r="P157" s="42">
        <f t="shared" si="7"/>
        <v>1708350</v>
      </c>
      <c r="Q157" s="42">
        <f t="shared" si="8"/>
        <v>2015853</v>
      </c>
    </row>
    <row r="158" spans="1:17" s="1" customFormat="1" ht="24" customHeight="1" x14ac:dyDescent="0.25">
      <c r="A158" s="17"/>
      <c r="B158" s="11" t="s">
        <v>1924</v>
      </c>
      <c r="C158" s="37" t="s">
        <v>648</v>
      </c>
      <c r="D158" s="38" t="s">
        <v>647</v>
      </c>
      <c r="E158" s="38"/>
      <c r="F158" s="72"/>
      <c r="G158" s="34" t="s">
        <v>359</v>
      </c>
      <c r="H158" s="37" t="s">
        <v>119</v>
      </c>
      <c r="I158" s="42">
        <v>423728.81355932204</v>
      </c>
      <c r="J158" s="42">
        <v>500000</v>
      </c>
      <c r="K158" s="37"/>
      <c r="L158" s="37"/>
      <c r="M158" s="42">
        <f t="shared" si="10"/>
        <v>423728.81355932204</v>
      </c>
      <c r="N158" s="42">
        <v>500000</v>
      </c>
      <c r="O158" s="36"/>
      <c r="P158" s="42">
        <f t="shared" si="7"/>
        <v>423728.81355932204</v>
      </c>
      <c r="Q158" s="42">
        <f t="shared" si="8"/>
        <v>500000</v>
      </c>
    </row>
    <row r="159" spans="1:17" s="1" customFormat="1" ht="38.25" customHeight="1" x14ac:dyDescent="0.25">
      <c r="A159" s="17"/>
      <c r="B159" s="11" t="s">
        <v>1925</v>
      </c>
      <c r="C159" s="37" t="s">
        <v>649</v>
      </c>
      <c r="D159" s="38" t="s">
        <v>526</v>
      </c>
      <c r="E159" s="38"/>
      <c r="F159" s="72"/>
      <c r="G159" s="34">
        <v>14754</v>
      </c>
      <c r="H159" s="37" t="s">
        <v>215</v>
      </c>
      <c r="I159" s="42">
        <v>298250.84745762713</v>
      </c>
      <c r="J159" s="42">
        <v>351936</v>
      </c>
      <c r="K159" s="37"/>
      <c r="L159" s="37"/>
      <c r="M159" s="42">
        <f t="shared" si="10"/>
        <v>298250.84745762713</v>
      </c>
      <c r="N159" s="42">
        <v>351936</v>
      </c>
      <c r="O159" s="36"/>
      <c r="P159" s="42">
        <f t="shared" si="7"/>
        <v>298250.84745762713</v>
      </c>
      <c r="Q159" s="42">
        <f t="shared" si="8"/>
        <v>351936</v>
      </c>
    </row>
    <row r="160" spans="1:17" s="1" customFormat="1" ht="38.25" customHeight="1" x14ac:dyDescent="0.25">
      <c r="A160" s="17"/>
      <c r="B160" s="11" t="s">
        <v>1925</v>
      </c>
      <c r="C160" s="37" t="s">
        <v>1761</v>
      </c>
      <c r="D160" s="38" t="s">
        <v>526</v>
      </c>
      <c r="E160" s="38"/>
      <c r="F160" s="72"/>
      <c r="G160" s="34">
        <v>14755</v>
      </c>
      <c r="H160" s="49">
        <v>42620</v>
      </c>
      <c r="I160" s="42">
        <v>702958.05</v>
      </c>
      <c r="J160" s="42">
        <v>829490.5</v>
      </c>
      <c r="K160" s="37"/>
      <c r="L160" s="37"/>
      <c r="M160" s="42">
        <f t="shared" si="10"/>
        <v>702958.05084745772</v>
      </c>
      <c r="N160" s="42">
        <v>829490.5</v>
      </c>
      <c r="O160" s="36"/>
      <c r="P160" s="42">
        <f t="shared" si="7"/>
        <v>702958.05084745772</v>
      </c>
      <c r="Q160" s="42">
        <f t="shared" si="8"/>
        <v>829490.5</v>
      </c>
    </row>
    <row r="161" spans="1:17" s="1" customFormat="1" ht="45" customHeight="1" x14ac:dyDescent="0.25">
      <c r="A161" s="17"/>
      <c r="B161" s="11" t="s">
        <v>1926</v>
      </c>
      <c r="C161" s="37" t="s">
        <v>650</v>
      </c>
      <c r="D161" s="38" t="s">
        <v>215</v>
      </c>
      <c r="E161" s="38"/>
      <c r="F161" s="72"/>
      <c r="G161" s="85" t="s">
        <v>361</v>
      </c>
      <c r="H161" s="86" t="s">
        <v>148</v>
      </c>
      <c r="I161" s="87">
        <v>184225.33898305084</v>
      </c>
      <c r="J161" s="87">
        <v>217385.9</v>
      </c>
      <c r="K161" s="37"/>
      <c r="L161" s="37"/>
      <c r="M161" s="42">
        <f t="shared" si="10"/>
        <v>184225.33898305084</v>
      </c>
      <c r="N161" s="42">
        <v>217385.9</v>
      </c>
      <c r="O161" s="36"/>
      <c r="P161" s="42">
        <f t="shared" si="7"/>
        <v>184225.33898305084</v>
      </c>
      <c r="Q161" s="42">
        <f t="shared" si="8"/>
        <v>217385.9</v>
      </c>
    </row>
    <row r="162" spans="1:17" s="1" customFormat="1" ht="32.25" customHeight="1" x14ac:dyDescent="0.25">
      <c r="A162" s="17"/>
      <c r="B162" s="11" t="s">
        <v>1927</v>
      </c>
      <c r="C162" s="37" t="s">
        <v>652</v>
      </c>
      <c r="D162" s="38" t="s">
        <v>651</v>
      </c>
      <c r="E162" s="38"/>
      <c r="F162" s="72"/>
      <c r="G162" s="34" t="s">
        <v>363</v>
      </c>
      <c r="H162" s="37" t="s">
        <v>364</v>
      </c>
      <c r="I162" s="42">
        <v>113615.39830508476</v>
      </c>
      <c r="J162" s="42">
        <v>134066.17000000001</v>
      </c>
      <c r="K162" s="37"/>
      <c r="L162" s="37"/>
      <c r="M162" s="42">
        <f t="shared" si="10"/>
        <v>113615.39830508476</v>
      </c>
      <c r="N162" s="42">
        <v>134066.17000000001</v>
      </c>
      <c r="O162" s="36"/>
      <c r="P162" s="42">
        <f t="shared" si="7"/>
        <v>113615.39830508476</v>
      </c>
      <c r="Q162" s="42">
        <f t="shared" si="8"/>
        <v>134066.17000000001</v>
      </c>
    </row>
    <row r="163" spans="1:17" s="1" customFormat="1" ht="32.25" customHeight="1" x14ac:dyDescent="0.25">
      <c r="A163" s="17"/>
      <c r="B163" s="11" t="s">
        <v>1928</v>
      </c>
      <c r="C163" s="37" t="s">
        <v>653</v>
      </c>
      <c r="D163" s="38" t="s">
        <v>202</v>
      </c>
      <c r="E163" s="38"/>
      <c r="F163" s="72"/>
      <c r="G163" s="34" t="s">
        <v>369</v>
      </c>
      <c r="H163" s="37" t="s">
        <v>386</v>
      </c>
      <c r="I163" s="42">
        <v>913933.05084745772</v>
      </c>
      <c r="J163" s="42">
        <v>1078441</v>
      </c>
      <c r="K163" s="37"/>
      <c r="L163" s="37"/>
      <c r="M163" s="42">
        <f t="shared" si="10"/>
        <v>913933.05084745772</v>
      </c>
      <c r="N163" s="42">
        <v>1078441</v>
      </c>
      <c r="O163" s="36"/>
      <c r="P163" s="42">
        <f t="shared" si="7"/>
        <v>913933.05084745772</v>
      </c>
      <c r="Q163" s="42">
        <f t="shared" si="8"/>
        <v>1078441</v>
      </c>
    </row>
    <row r="164" spans="1:17" s="1" customFormat="1" ht="32.25" customHeight="1" x14ac:dyDescent="0.25">
      <c r="A164" s="17"/>
      <c r="B164" s="11" t="s">
        <v>1929</v>
      </c>
      <c r="C164" s="37" t="s">
        <v>653</v>
      </c>
      <c r="D164" s="38" t="s">
        <v>202</v>
      </c>
      <c r="E164" s="38"/>
      <c r="F164" s="72"/>
      <c r="G164" s="34" t="s">
        <v>370</v>
      </c>
      <c r="H164" s="37" t="s">
        <v>169</v>
      </c>
      <c r="I164" s="42">
        <v>943220.3389830509</v>
      </c>
      <c r="J164" s="42">
        <v>1113000</v>
      </c>
      <c r="K164" s="37"/>
      <c r="L164" s="37"/>
      <c r="M164" s="42">
        <f t="shared" si="10"/>
        <v>943220.3389830509</v>
      </c>
      <c r="N164" s="42">
        <v>1113000</v>
      </c>
      <c r="O164" s="36"/>
      <c r="P164" s="42">
        <f t="shared" si="7"/>
        <v>943220.3389830509</v>
      </c>
      <c r="Q164" s="42">
        <f t="shared" si="8"/>
        <v>1113000</v>
      </c>
    </row>
    <row r="165" spans="1:17" s="1" customFormat="1" ht="32.25" customHeight="1" x14ac:dyDescent="0.25">
      <c r="A165" s="17"/>
      <c r="B165" s="11" t="s">
        <v>1930</v>
      </c>
      <c r="C165" s="37" t="s">
        <v>365</v>
      </c>
      <c r="D165" s="37" t="s">
        <v>365</v>
      </c>
      <c r="E165" s="38"/>
      <c r="F165" s="72"/>
      <c r="G165" s="34" t="s">
        <v>371</v>
      </c>
      <c r="H165" s="37" t="s">
        <v>387</v>
      </c>
      <c r="I165" s="42">
        <v>155254.2372881356</v>
      </c>
      <c r="J165" s="42">
        <v>183200</v>
      </c>
      <c r="K165" s="37"/>
      <c r="L165" s="37"/>
      <c r="M165" s="42">
        <f t="shared" si="10"/>
        <v>155254.2372881356</v>
      </c>
      <c r="N165" s="42">
        <v>183200</v>
      </c>
      <c r="O165" s="36"/>
      <c r="P165" s="42">
        <f t="shared" si="7"/>
        <v>155254.2372881356</v>
      </c>
      <c r="Q165" s="42">
        <f t="shared" si="8"/>
        <v>183200</v>
      </c>
    </row>
    <row r="166" spans="1:17" s="1" customFormat="1" ht="32.25" customHeight="1" x14ac:dyDescent="0.25">
      <c r="A166" s="17"/>
      <c r="B166" s="11" t="s">
        <v>1930</v>
      </c>
      <c r="C166" s="37" t="s">
        <v>366</v>
      </c>
      <c r="D166" s="37" t="s">
        <v>366</v>
      </c>
      <c r="E166" s="38"/>
      <c r="F166" s="72"/>
      <c r="G166" s="34" t="s">
        <v>372</v>
      </c>
      <c r="H166" s="37" t="s">
        <v>120</v>
      </c>
      <c r="I166" s="42">
        <v>56610.169491525427</v>
      </c>
      <c r="J166" s="42">
        <v>66800</v>
      </c>
      <c r="K166" s="37"/>
      <c r="L166" s="37"/>
      <c r="M166" s="42">
        <f t="shared" si="10"/>
        <v>56610.169491525427</v>
      </c>
      <c r="N166" s="42">
        <v>66800</v>
      </c>
      <c r="O166" s="36"/>
      <c r="P166" s="42">
        <f t="shared" si="7"/>
        <v>56610.169491525427</v>
      </c>
      <c r="Q166" s="42">
        <f t="shared" si="8"/>
        <v>66800</v>
      </c>
    </row>
    <row r="167" spans="1:17" s="1" customFormat="1" ht="32.25" customHeight="1" x14ac:dyDescent="0.25">
      <c r="A167" s="17"/>
      <c r="B167" s="11" t="s">
        <v>1931</v>
      </c>
      <c r="C167" s="37" t="s">
        <v>654</v>
      </c>
      <c r="D167" s="38" t="s">
        <v>202</v>
      </c>
      <c r="E167" s="38"/>
      <c r="F167" s="72"/>
      <c r="G167" s="85" t="s">
        <v>373</v>
      </c>
      <c r="H167" s="86" t="s">
        <v>203</v>
      </c>
      <c r="I167" s="87">
        <v>393216.94915254239</v>
      </c>
      <c r="J167" s="87">
        <v>463996</v>
      </c>
      <c r="K167" s="37"/>
      <c r="L167" s="37"/>
      <c r="M167" s="42">
        <f t="shared" si="10"/>
        <v>393216.94915254239</v>
      </c>
      <c r="N167" s="42">
        <v>463996</v>
      </c>
      <c r="O167" s="36"/>
      <c r="P167" s="42">
        <f t="shared" si="7"/>
        <v>393216.94915254239</v>
      </c>
      <c r="Q167" s="42">
        <f t="shared" si="8"/>
        <v>463996</v>
      </c>
    </row>
    <row r="168" spans="1:17" s="1" customFormat="1" ht="32.25" customHeight="1" x14ac:dyDescent="0.25">
      <c r="A168" s="17"/>
      <c r="B168" s="11" t="s">
        <v>1932</v>
      </c>
      <c r="C168" s="37" t="s">
        <v>656</v>
      </c>
      <c r="D168" s="38" t="s">
        <v>655</v>
      </c>
      <c r="E168" s="38"/>
      <c r="F168" s="72"/>
      <c r="G168" s="34" t="s">
        <v>374</v>
      </c>
      <c r="H168" s="37" t="s">
        <v>388</v>
      </c>
      <c r="I168" s="42">
        <v>677966.10169491533</v>
      </c>
      <c r="J168" s="42">
        <v>800000</v>
      </c>
      <c r="K168" s="37"/>
      <c r="L168" s="37"/>
      <c r="M168" s="42">
        <f t="shared" si="10"/>
        <v>677966.10169491533</v>
      </c>
      <c r="N168" s="42">
        <v>800000</v>
      </c>
      <c r="O168" s="36"/>
      <c r="P168" s="42">
        <f t="shared" si="7"/>
        <v>677966.10169491533</v>
      </c>
      <c r="Q168" s="42">
        <f t="shared" si="8"/>
        <v>800000</v>
      </c>
    </row>
    <row r="169" spans="1:17" s="1" customFormat="1" ht="32.25" customHeight="1" x14ac:dyDescent="0.25">
      <c r="A169" s="17"/>
      <c r="B169" s="11" t="s">
        <v>1933</v>
      </c>
      <c r="C169" s="37" t="s">
        <v>657</v>
      </c>
      <c r="D169" s="38" t="s">
        <v>655</v>
      </c>
      <c r="E169" s="38"/>
      <c r="F169" s="72"/>
      <c r="G169" s="34" t="s">
        <v>375</v>
      </c>
      <c r="H169" s="37" t="s">
        <v>357</v>
      </c>
      <c r="I169" s="42">
        <v>699516.10169491533</v>
      </c>
      <c r="J169" s="42">
        <v>825429</v>
      </c>
      <c r="K169" s="37"/>
      <c r="L169" s="37"/>
      <c r="M169" s="42">
        <f t="shared" si="10"/>
        <v>699516.10169491533</v>
      </c>
      <c r="N169" s="42">
        <v>825429</v>
      </c>
      <c r="O169" s="36"/>
      <c r="P169" s="42">
        <f t="shared" si="7"/>
        <v>699516.10169491533</v>
      </c>
      <c r="Q169" s="42">
        <f t="shared" si="8"/>
        <v>825429</v>
      </c>
    </row>
    <row r="170" spans="1:17" s="1" customFormat="1" ht="32.25" customHeight="1" x14ac:dyDescent="0.25">
      <c r="A170" s="17"/>
      <c r="B170" s="11" t="s">
        <v>1934</v>
      </c>
      <c r="C170" s="37" t="s">
        <v>367</v>
      </c>
      <c r="D170" s="37" t="s">
        <v>367</v>
      </c>
      <c r="E170" s="38"/>
      <c r="F170" s="72"/>
      <c r="G170" s="85" t="s">
        <v>376</v>
      </c>
      <c r="H170" s="86" t="s">
        <v>193</v>
      </c>
      <c r="I170" s="87">
        <v>29830.508474576272</v>
      </c>
      <c r="J170" s="87">
        <v>35200</v>
      </c>
      <c r="K170" s="37"/>
      <c r="L170" s="37"/>
      <c r="M170" s="42">
        <f t="shared" si="10"/>
        <v>29830.508474576272</v>
      </c>
      <c r="N170" s="42">
        <v>35200</v>
      </c>
      <c r="O170" s="36"/>
      <c r="P170" s="42">
        <f t="shared" si="7"/>
        <v>29830.508474576272</v>
      </c>
      <c r="Q170" s="42">
        <f t="shared" si="8"/>
        <v>35200</v>
      </c>
    </row>
    <row r="171" spans="1:17" s="1" customFormat="1" ht="32.25" customHeight="1" x14ac:dyDescent="0.25">
      <c r="A171" s="17"/>
      <c r="B171" s="11" t="s">
        <v>1935</v>
      </c>
      <c r="C171" s="37" t="s">
        <v>368</v>
      </c>
      <c r="D171" s="38"/>
      <c r="E171" s="38"/>
      <c r="F171" s="72"/>
      <c r="G171" s="85" t="s">
        <v>377</v>
      </c>
      <c r="H171" s="86" t="s">
        <v>165</v>
      </c>
      <c r="I171" s="87">
        <v>929168.64406779665</v>
      </c>
      <c r="J171" s="87">
        <v>1096419</v>
      </c>
      <c r="K171" s="37"/>
      <c r="L171" s="37"/>
      <c r="M171" s="42">
        <f t="shared" si="10"/>
        <v>929168.64406779665</v>
      </c>
      <c r="N171" s="42">
        <v>1096419</v>
      </c>
      <c r="O171" s="36"/>
      <c r="P171" s="42">
        <f t="shared" si="7"/>
        <v>929168.64406779665</v>
      </c>
      <c r="Q171" s="42">
        <f t="shared" si="8"/>
        <v>1096419</v>
      </c>
    </row>
    <row r="172" spans="1:17" s="1" customFormat="1" ht="32.25" customHeight="1" x14ac:dyDescent="0.25">
      <c r="A172" s="17"/>
      <c r="B172" s="11" t="s">
        <v>1936</v>
      </c>
      <c r="C172" s="37" t="s">
        <v>658</v>
      </c>
      <c r="D172" s="38" t="s">
        <v>554</v>
      </c>
      <c r="E172" s="38"/>
      <c r="F172" s="72"/>
      <c r="G172" s="85" t="s">
        <v>378</v>
      </c>
      <c r="H172" s="86" t="s">
        <v>173</v>
      </c>
      <c r="I172" s="87">
        <v>2541582.2033898304</v>
      </c>
      <c r="J172" s="87">
        <v>2999067</v>
      </c>
      <c r="K172" s="37"/>
      <c r="L172" s="37"/>
      <c r="M172" s="42">
        <f t="shared" si="10"/>
        <v>2541582.2033898304</v>
      </c>
      <c r="N172" s="42">
        <v>2999067</v>
      </c>
      <c r="O172" s="36"/>
      <c r="P172" s="42">
        <f t="shared" si="7"/>
        <v>2541582.2033898304</v>
      </c>
      <c r="Q172" s="42">
        <f t="shared" si="8"/>
        <v>2999067</v>
      </c>
    </row>
    <row r="173" spans="1:17" s="1" customFormat="1" ht="32.25" customHeight="1" x14ac:dyDescent="0.25">
      <c r="A173" s="17"/>
      <c r="B173" s="11" t="s">
        <v>1937</v>
      </c>
      <c r="C173" s="37" t="s">
        <v>660</v>
      </c>
      <c r="D173" s="38" t="s">
        <v>659</v>
      </c>
      <c r="E173" s="38"/>
      <c r="F173" s="72"/>
      <c r="G173" s="34" t="s">
        <v>379</v>
      </c>
      <c r="H173" s="37" t="s">
        <v>151</v>
      </c>
      <c r="I173" s="42">
        <v>208989.83050847458</v>
      </c>
      <c r="J173" s="42">
        <v>246608</v>
      </c>
      <c r="K173" s="37"/>
      <c r="L173" s="37"/>
      <c r="M173" s="42">
        <f t="shared" si="10"/>
        <v>208989.83050847458</v>
      </c>
      <c r="N173" s="42">
        <v>246608</v>
      </c>
      <c r="O173" s="36"/>
      <c r="P173" s="42">
        <f t="shared" si="7"/>
        <v>208989.83050847458</v>
      </c>
      <c r="Q173" s="42">
        <f t="shared" si="8"/>
        <v>246608</v>
      </c>
    </row>
    <row r="174" spans="1:17" s="1" customFormat="1" ht="32.25" customHeight="1" x14ac:dyDescent="0.25">
      <c r="A174" s="17"/>
      <c r="B174" s="11" t="s">
        <v>1938</v>
      </c>
      <c r="C174" s="37" t="s">
        <v>662</v>
      </c>
      <c r="D174" s="38" t="s">
        <v>661</v>
      </c>
      <c r="E174" s="38"/>
      <c r="F174" s="72"/>
      <c r="G174" s="34" t="s">
        <v>380</v>
      </c>
      <c r="H174" s="37" t="s">
        <v>146</v>
      </c>
      <c r="I174" s="42">
        <v>87288.135593220344</v>
      </c>
      <c r="J174" s="42">
        <v>103000</v>
      </c>
      <c r="K174" s="37"/>
      <c r="L174" s="37"/>
      <c r="M174" s="42">
        <f t="shared" si="10"/>
        <v>87288.135593220344</v>
      </c>
      <c r="N174" s="42">
        <v>103000</v>
      </c>
      <c r="O174" s="36"/>
      <c r="P174" s="42">
        <f t="shared" si="7"/>
        <v>87288.135593220344</v>
      </c>
      <c r="Q174" s="42">
        <f t="shared" si="8"/>
        <v>103000</v>
      </c>
    </row>
    <row r="175" spans="1:17" s="1" customFormat="1" ht="32.25" customHeight="1" x14ac:dyDescent="0.25">
      <c r="A175" s="17"/>
      <c r="B175" s="11" t="s">
        <v>1939</v>
      </c>
      <c r="C175" s="37" t="s">
        <v>663</v>
      </c>
      <c r="D175" s="38" t="s">
        <v>578</v>
      </c>
      <c r="E175" s="38"/>
      <c r="F175" s="72"/>
      <c r="G175" s="34" t="s">
        <v>381</v>
      </c>
      <c r="H175" s="37" t="s">
        <v>146</v>
      </c>
      <c r="I175" s="42">
        <v>367752.54237288138</v>
      </c>
      <c r="J175" s="42">
        <v>433948</v>
      </c>
      <c r="K175" s="37"/>
      <c r="L175" s="37"/>
      <c r="M175" s="42">
        <f t="shared" si="10"/>
        <v>367752.54237288138</v>
      </c>
      <c r="N175" s="42">
        <v>433948</v>
      </c>
      <c r="O175" s="36"/>
      <c r="P175" s="42">
        <f t="shared" ref="P175:P248" si="11">M175</f>
        <v>367752.54237288138</v>
      </c>
      <c r="Q175" s="42">
        <f t="shared" ref="Q175:Q248" si="12">N175</f>
        <v>433948</v>
      </c>
    </row>
    <row r="176" spans="1:17" s="1" customFormat="1" ht="32.25" customHeight="1" x14ac:dyDescent="0.25">
      <c r="A176" s="17"/>
      <c r="B176" s="11" t="s">
        <v>1940</v>
      </c>
      <c r="C176" s="37" t="s">
        <v>664</v>
      </c>
      <c r="D176" s="38" t="s">
        <v>196</v>
      </c>
      <c r="E176" s="38"/>
      <c r="F176" s="72"/>
      <c r="G176" s="85" t="s">
        <v>382</v>
      </c>
      <c r="H176" s="86" t="s">
        <v>389</v>
      </c>
      <c r="I176" s="87">
        <v>336843.22033898305</v>
      </c>
      <c r="J176" s="87">
        <v>397475</v>
      </c>
      <c r="K176" s="37"/>
      <c r="L176" s="37"/>
      <c r="M176" s="42">
        <f t="shared" si="10"/>
        <v>336843.22033898305</v>
      </c>
      <c r="N176" s="42">
        <v>397475</v>
      </c>
      <c r="O176" s="36"/>
      <c r="P176" s="42">
        <f t="shared" si="11"/>
        <v>336843.22033898305</v>
      </c>
      <c r="Q176" s="42">
        <f t="shared" si="12"/>
        <v>397475</v>
      </c>
    </row>
    <row r="177" spans="1:17" s="1" customFormat="1" ht="32.25" customHeight="1" x14ac:dyDescent="0.25">
      <c r="A177" s="17"/>
      <c r="B177" s="11" t="s">
        <v>1941</v>
      </c>
      <c r="C177" s="37" t="s">
        <v>666</v>
      </c>
      <c r="D177" s="38" t="s">
        <v>665</v>
      </c>
      <c r="E177" s="38"/>
      <c r="F177" s="72"/>
      <c r="G177" s="85" t="s">
        <v>383</v>
      </c>
      <c r="H177" s="86" t="s">
        <v>204</v>
      </c>
      <c r="I177" s="87">
        <v>2203389.8305084747</v>
      </c>
      <c r="J177" s="87">
        <v>2600000</v>
      </c>
      <c r="K177" s="37"/>
      <c r="L177" s="37"/>
      <c r="M177" s="42">
        <f t="shared" si="10"/>
        <v>2203389.8305084747</v>
      </c>
      <c r="N177" s="42">
        <v>2600000</v>
      </c>
      <c r="O177" s="36"/>
      <c r="P177" s="42">
        <f t="shared" si="11"/>
        <v>2203389.8305084747</v>
      </c>
      <c r="Q177" s="42">
        <f t="shared" si="12"/>
        <v>2600000</v>
      </c>
    </row>
    <row r="178" spans="1:17" s="1" customFormat="1" ht="32.25" customHeight="1" x14ac:dyDescent="0.25">
      <c r="A178" s="17"/>
      <c r="B178" s="11" t="s">
        <v>1942</v>
      </c>
      <c r="C178" s="37" t="s">
        <v>668</v>
      </c>
      <c r="D178" s="38" t="s">
        <v>667</v>
      </c>
      <c r="E178" s="38"/>
      <c r="F178" s="72"/>
      <c r="G178" s="34" t="s">
        <v>384</v>
      </c>
      <c r="H178" s="37" t="s">
        <v>390</v>
      </c>
      <c r="I178" s="42">
        <v>317003.81355932204</v>
      </c>
      <c r="J178" s="42">
        <v>374064.5</v>
      </c>
      <c r="K178" s="37"/>
      <c r="L178" s="37"/>
      <c r="M178" s="42">
        <f t="shared" si="10"/>
        <v>317003.81355932204</v>
      </c>
      <c r="N178" s="42">
        <v>374064.5</v>
      </c>
      <c r="O178" s="36"/>
      <c r="P178" s="42">
        <f t="shared" si="11"/>
        <v>317003.81355932204</v>
      </c>
      <c r="Q178" s="42">
        <f t="shared" si="12"/>
        <v>374064.5</v>
      </c>
    </row>
    <row r="179" spans="1:17" s="1" customFormat="1" ht="32.25" customHeight="1" x14ac:dyDescent="0.25">
      <c r="A179" s="17"/>
      <c r="B179" s="11" t="s">
        <v>1943</v>
      </c>
      <c r="C179" s="37" t="s">
        <v>669</v>
      </c>
      <c r="D179" s="38" t="s">
        <v>667</v>
      </c>
      <c r="E179" s="38"/>
      <c r="F179" s="72"/>
      <c r="G179" s="34" t="s">
        <v>385</v>
      </c>
      <c r="H179" s="37" t="s">
        <v>390</v>
      </c>
      <c r="I179" s="42">
        <v>316292.37288135593</v>
      </c>
      <c r="J179" s="42">
        <v>373225</v>
      </c>
      <c r="K179" s="37"/>
      <c r="L179" s="37"/>
      <c r="M179" s="42">
        <f t="shared" si="10"/>
        <v>316292.37288135593</v>
      </c>
      <c r="N179" s="42">
        <v>373225</v>
      </c>
      <c r="O179" s="36"/>
      <c r="P179" s="42">
        <f t="shared" si="11"/>
        <v>316292.37288135593</v>
      </c>
      <c r="Q179" s="42">
        <f t="shared" si="12"/>
        <v>373225</v>
      </c>
    </row>
    <row r="180" spans="1:17" s="1" customFormat="1" ht="32.25" customHeight="1" x14ac:dyDescent="0.25">
      <c r="A180" s="17"/>
      <c r="B180" s="11" t="s">
        <v>1944</v>
      </c>
      <c r="C180" s="37" t="s">
        <v>546</v>
      </c>
      <c r="D180" s="38" t="s">
        <v>670</v>
      </c>
      <c r="E180" s="38"/>
      <c r="F180" s="72"/>
      <c r="G180" s="85" t="s">
        <v>396</v>
      </c>
      <c r="H180" s="86" t="s">
        <v>123</v>
      </c>
      <c r="I180" s="87">
        <v>435100.79661016952</v>
      </c>
      <c r="J180" s="87">
        <v>513418.94</v>
      </c>
      <c r="K180" s="37"/>
      <c r="L180" s="37"/>
      <c r="M180" s="42">
        <f t="shared" si="10"/>
        <v>435100.79661016952</v>
      </c>
      <c r="N180" s="42">
        <v>513418.94</v>
      </c>
      <c r="O180" s="36"/>
      <c r="P180" s="42">
        <f t="shared" si="11"/>
        <v>435100.79661016952</v>
      </c>
      <c r="Q180" s="42">
        <f t="shared" si="12"/>
        <v>513418.94</v>
      </c>
    </row>
    <row r="181" spans="1:17" s="1" customFormat="1" ht="43.5" customHeight="1" x14ac:dyDescent="0.25">
      <c r="A181" s="125"/>
      <c r="B181" s="112" t="s">
        <v>1945</v>
      </c>
      <c r="C181" s="89" t="s">
        <v>672</v>
      </c>
      <c r="D181" s="113" t="s">
        <v>671</v>
      </c>
      <c r="E181" s="113"/>
      <c r="F181" s="72"/>
      <c r="G181" s="34" t="s">
        <v>397</v>
      </c>
      <c r="H181" s="37" t="s">
        <v>119</v>
      </c>
      <c r="I181" s="42">
        <v>67796.610169491527</v>
      </c>
      <c r="J181" s="42">
        <v>80000</v>
      </c>
      <c r="K181" s="37"/>
      <c r="L181" s="37"/>
      <c r="M181" s="42">
        <f t="shared" si="10"/>
        <v>67796.610169491527</v>
      </c>
      <c r="N181" s="42">
        <v>80000</v>
      </c>
      <c r="O181" s="36"/>
      <c r="P181" s="42">
        <f t="shared" si="11"/>
        <v>67796.610169491527</v>
      </c>
      <c r="Q181" s="42">
        <f t="shared" si="12"/>
        <v>80000</v>
      </c>
    </row>
    <row r="182" spans="1:17" s="1" customFormat="1" ht="32.25" customHeight="1" x14ac:dyDescent="0.25">
      <c r="A182" s="17"/>
      <c r="B182" s="11" t="s">
        <v>1946</v>
      </c>
      <c r="C182" s="37" t="s">
        <v>674</v>
      </c>
      <c r="D182" s="38" t="s">
        <v>673</v>
      </c>
      <c r="E182" s="38"/>
      <c r="F182" s="72"/>
      <c r="G182" s="34" t="s">
        <v>398</v>
      </c>
      <c r="H182" s="37" t="s">
        <v>229</v>
      </c>
      <c r="I182" s="42">
        <v>1099513.2203389832</v>
      </c>
      <c r="J182" s="42">
        <v>1297425.6000000001</v>
      </c>
      <c r="K182" s="37"/>
      <c r="L182" s="37"/>
      <c r="M182" s="42">
        <f t="shared" si="10"/>
        <v>1099513.2203389832</v>
      </c>
      <c r="N182" s="42">
        <v>1297425.6000000001</v>
      </c>
      <c r="O182" s="36"/>
      <c r="P182" s="42">
        <f t="shared" si="11"/>
        <v>1099513.2203389832</v>
      </c>
      <c r="Q182" s="42">
        <f t="shared" si="12"/>
        <v>1297425.6000000001</v>
      </c>
    </row>
    <row r="183" spans="1:17" s="1" customFormat="1" ht="32.25" customHeight="1" x14ac:dyDescent="0.25">
      <c r="A183" s="17"/>
      <c r="B183" s="80" t="s">
        <v>1947</v>
      </c>
      <c r="C183" s="72" t="s">
        <v>675</v>
      </c>
      <c r="D183" s="81" t="s">
        <v>598</v>
      </c>
      <c r="E183" s="81"/>
      <c r="F183" s="72"/>
      <c r="G183" s="85" t="s">
        <v>399</v>
      </c>
      <c r="H183" s="86" t="s">
        <v>193</v>
      </c>
      <c r="I183" s="87">
        <v>16512</v>
      </c>
      <c r="J183" s="87">
        <v>16512</v>
      </c>
      <c r="K183" s="85">
        <v>6</v>
      </c>
      <c r="L183" s="99">
        <v>42781</v>
      </c>
      <c r="M183" s="87">
        <v>16512</v>
      </c>
      <c r="N183" s="87">
        <v>16512</v>
      </c>
      <c r="O183" s="84" t="s">
        <v>2138</v>
      </c>
      <c r="P183" s="42">
        <f t="shared" si="11"/>
        <v>16512</v>
      </c>
      <c r="Q183" s="42">
        <f t="shared" si="12"/>
        <v>16512</v>
      </c>
    </row>
    <row r="184" spans="1:17" s="1" customFormat="1" ht="32.25" customHeight="1" x14ac:dyDescent="0.25">
      <c r="A184" s="17"/>
      <c r="B184" s="11" t="s">
        <v>1948</v>
      </c>
      <c r="C184" s="37" t="s">
        <v>676</v>
      </c>
      <c r="D184" s="38" t="s">
        <v>148</v>
      </c>
      <c r="E184" s="38"/>
      <c r="F184" s="72"/>
      <c r="G184" s="85" t="s">
        <v>400</v>
      </c>
      <c r="H184" s="86" t="s">
        <v>148</v>
      </c>
      <c r="I184" s="87">
        <v>71491.525423728817</v>
      </c>
      <c r="J184" s="87">
        <v>84360</v>
      </c>
      <c r="K184" s="37"/>
      <c r="L184" s="37"/>
      <c r="M184" s="42">
        <f>N184/1.18</f>
        <v>71491.525423728817</v>
      </c>
      <c r="N184" s="42">
        <v>84360</v>
      </c>
      <c r="O184" s="36"/>
      <c r="P184" s="42">
        <f t="shared" si="11"/>
        <v>71491.525423728817</v>
      </c>
      <c r="Q184" s="42">
        <f t="shared" si="12"/>
        <v>84360</v>
      </c>
    </row>
    <row r="185" spans="1:17" s="1" customFormat="1" ht="32.25" customHeight="1" x14ac:dyDescent="0.25">
      <c r="A185" s="17"/>
      <c r="B185" s="11" t="s">
        <v>1948</v>
      </c>
      <c r="C185" s="37" t="s">
        <v>678</v>
      </c>
      <c r="D185" s="38" t="s">
        <v>677</v>
      </c>
      <c r="E185" s="38"/>
      <c r="F185" s="72"/>
      <c r="G185" s="85" t="s">
        <v>401</v>
      </c>
      <c r="H185" s="86" t="s">
        <v>257</v>
      </c>
      <c r="I185" s="87">
        <v>71491.525423728817</v>
      </c>
      <c r="J185" s="87">
        <v>84360</v>
      </c>
      <c r="K185" s="37"/>
      <c r="L185" s="37"/>
      <c r="M185" s="42">
        <f>N185/1.18</f>
        <v>71491.525423728817</v>
      </c>
      <c r="N185" s="42">
        <v>84360</v>
      </c>
      <c r="O185" s="36"/>
      <c r="P185" s="42">
        <f t="shared" si="11"/>
        <v>71491.525423728817</v>
      </c>
      <c r="Q185" s="42">
        <f t="shared" si="12"/>
        <v>84360</v>
      </c>
    </row>
    <row r="186" spans="1:17" s="1" customFormat="1" ht="32.25" customHeight="1" x14ac:dyDescent="0.25">
      <c r="A186" s="17"/>
      <c r="B186" s="11" t="s">
        <v>1949</v>
      </c>
      <c r="C186" s="37" t="s">
        <v>680</v>
      </c>
      <c r="D186" s="38" t="s">
        <v>679</v>
      </c>
      <c r="E186" s="38"/>
      <c r="F186" s="72"/>
      <c r="G186" s="85" t="s">
        <v>403</v>
      </c>
      <c r="H186" s="86" t="s">
        <v>389</v>
      </c>
      <c r="I186" s="87">
        <v>439742.37288135593</v>
      </c>
      <c r="J186" s="87">
        <v>518896</v>
      </c>
      <c r="K186" s="37"/>
      <c r="L186" s="37"/>
      <c r="M186" s="42">
        <f t="shared" ref="M186:M208" si="13">N186/1.18</f>
        <v>439742.37288135593</v>
      </c>
      <c r="N186" s="42">
        <v>518896</v>
      </c>
      <c r="O186" s="36"/>
      <c r="P186" s="42">
        <f t="shared" si="11"/>
        <v>439742.37288135593</v>
      </c>
      <c r="Q186" s="42">
        <f t="shared" si="12"/>
        <v>518896</v>
      </c>
    </row>
    <row r="187" spans="1:17" s="1" customFormat="1" ht="32.25" customHeight="1" x14ac:dyDescent="0.25">
      <c r="A187" s="17"/>
      <c r="B187" s="11" t="s">
        <v>1949</v>
      </c>
      <c r="C187" s="37" t="s">
        <v>681</v>
      </c>
      <c r="D187" s="38" t="s">
        <v>146</v>
      </c>
      <c r="E187" s="38"/>
      <c r="F187" s="72"/>
      <c r="G187" s="85" t="s">
        <v>404</v>
      </c>
      <c r="H187" s="86" t="s">
        <v>406</v>
      </c>
      <c r="I187" s="87">
        <v>116189.83050847458</v>
      </c>
      <c r="J187" s="87">
        <v>137104</v>
      </c>
      <c r="K187" s="37"/>
      <c r="L187" s="37"/>
      <c r="M187" s="42">
        <f t="shared" si="13"/>
        <v>116189.83050847458</v>
      </c>
      <c r="N187" s="42">
        <v>137104</v>
      </c>
      <c r="O187" s="36"/>
      <c r="P187" s="42">
        <f t="shared" si="11"/>
        <v>116189.83050847458</v>
      </c>
      <c r="Q187" s="42">
        <f t="shared" si="12"/>
        <v>137104</v>
      </c>
    </row>
    <row r="188" spans="1:17" s="1" customFormat="1" ht="32.25" customHeight="1" x14ac:dyDescent="0.25">
      <c r="A188" s="17"/>
      <c r="B188" s="11" t="s">
        <v>1950</v>
      </c>
      <c r="C188" s="37" t="s">
        <v>683</v>
      </c>
      <c r="D188" s="38" t="s">
        <v>682</v>
      </c>
      <c r="E188" s="38"/>
      <c r="F188" s="72"/>
      <c r="G188" s="85" t="s">
        <v>405</v>
      </c>
      <c r="H188" s="86" t="s">
        <v>204</v>
      </c>
      <c r="I188" s="87">
        <v>870838.98305084754</v>
      </c>
      <c r="J188" s="87">
        <v>1027590</v>
      </c>
      <c r="K188" s="37"/>
      <c r="L188" s="37"/>
      <c r="M188" s="42">
        <f t="shared" si="13"/>
        <v>870838.98305084754</v>
      </c>
      <c r="N188" s="42">
        <v>1027590</v>
      </c>
      <c r="O188" s="36"/>
      <c r="P188" s="42">
        <f t="shared" si="11"/>
        <v>870838.98305084754</v>
      </c>
      <c r="Q188" s="42">
        <f t="shared" si="12"/>
        <v>1027590</v>
      </c>
    </row>
    <row r="189" spans="1:17" s="1" customFormat="1" ht="32.25" customHeight="1" x14ac:dyDescent="0.25">
      <c r="A189" s="17"/>
      <c r="B189" s="11" t="s">
        <v>1951</v>
      </c>
      <c r="C189" s="37" t="s">
        <v>684</v>
      </c>
      <c r="D189" s="38" t="s">
        <v>529</v>
      </c>
      <c r="E189" s="38"/>
      <c r="F189" s="72"/>
      <c r="G189" s="85" t="s">
        <v>407</v>
      </c>
      <c r="H189" s="86" t="s">
        <v>157</v>
      </c>
      <c r="I189" s="87">
        <v>42629.847457627118</v>
      </c>
      <c r="J189" s="87">
        <v>50303.22</v>
      </c>
      <c r="K189" s="37"/>
      <c r="L189" s="37"/>
      <c r="M189" s="42">
        <f t="shared" si="13"/>
        <v>42629.847457627118</v>
      </c>
      <c r="N189" s="42">
        <v>50303.22</v>
      </c>
      <c r="O189" s="36"/>
      <c r="P189" s="42">
        <f t="shared" si="11"/>
        <v>42629.847457627118</v>
      </c>
      <c r="Q189" s="42">
        <f t="shared" si="12"/>
        <v>50303.22</v>
      </c>
    </row>
    <row r="190" spans="1:17" s="1" customFormat="1" ht="32.25" customHeight="1" x14ac:dyDescent="0.25">
      <c r="A190" s="17"/>
      <c r="B190" s="11" t="s">
        <v>1952</v>
      </c>
      <c r="C190" s="37" t="s">
        <v>1770</v>
      </c>
      <c r="D190" s="38" t="s">
        <v>612</v>
      </c>
      <c r="E190" s="38"/>
      <c r="F190" s="72"/>
      <c r="G190" s="34">
        <v>4462</v>
      </c>
      <c r="H190" s="49">
        <v>42509</v>
      </c>
      <c r="I190" s="42">
        <v>5559.32</v>
      </c>
      <c r="J190" s="42">
        <v>6560</v>
      </c>
      <c r="K190" s="37"/>
      <c r="L190" s="37"/>
      <c r="M190" s="42">
        <f t="shared" si="13"/>
        <v>5559.3220338983056</v>
      </c>
      <c r="N190" s="42">
        <v>6560</v>
      </c>
      <c r="O190" s="36"/>
      <c r="P190" s="42">
        <f t="shared" si="11"/>
        <v>5559.3220338983056</v>
      </c>
      <c r="Q190" s="42">
        <f t="shared" si="12"/>
        <v>6560</v>
      </c>
    </row>
    <row r="191" spans="1:17" s="1" customFormat="1" ht="32.25" customHeight="1" x14ac:dyDescent="0.25">
      <c r="A191" s="17"/>
      <c r="B191" s="11" t="s">
        <v>1952</v>
      </c>
      <c r="C191" s="37" t="s">
        <v>685</v>
      </c>
      <c r="D191" s="38" t="s">
        <v>612</v>
      </c>
      <c r="E191" s="38"/>
      <c r="F191" s="72"/>
      <c r="G191" s="34" t="s">
        <v>410</v>
      </c>
      <c r="H191" s="37" t="s">
        <v>128</v>
      </c>
      <c r="I191" s="42">
        <v>121186.44067796611</v>
      </c>
      <c r="J191" s="42">
        <v>143000</v>
      </c>
      <c r="K191" s="37"/>
      <c r="L191" s="37"/>
      <c r="M191" s="42">
        <f t="shared" si="13"/>
        <v>121186.44067796611</v>
      </c>
      <c r="N191" s="42">
        <v>143000</v>
      </c>
      <c r="O191" s="36"/>
      <c r="P191" s="42">
        <f t="shared" si="11"/>
        <v>121186.44067796611</v>
      </c>
      <c r="Q191" s="42">
        <f t="shared" si="12"/>
        <v>143000</v>
      </c>
    </row>
    <row r="192" spans="1:17" s="1" customFormat="1" ht="32.25" customHeight="1" x14ac:dyDescent="0.25">
      <c r="A192" s="17"/>
      <c r="B192" s="11" t="s">
        <v>1953</v>
      </c>
      <c r="C192" s="37" t="s">
        <v>411</v>
      </c>
      <c r="D192" s="38" t="s">
        <v>123</v>
      </c>
      <c r="E192" s="38"/>
      <c r="F192" s="72"/>
      <c r="G192" s="34" t="s">
        <v>412</v>
      </c>
      <c r="H192" s="37" t="s">
        <v>420</v>
      </c>
      <c r="I192" s="42">
        <v>434634.74576271191</v>
      </c>
      <c r="J192" s="42">
        <v>512869</v>
      </c>
      <c r="K192" s="37"/>
      <c r="L192" s="37"/>
      <c r="M192" s="42">
        <f t="shared" si="13"/>
        <v>434634.74576271191</v>
      </c>
      <c r="N192" s="42">
        <v>512869</v>
      </c>
      <c r="O192" s="36"/>
      <c r="P192" s="42">
        <f t="shared" si="11"/>
        <v>434634.74576271191</v>
      </c>
      <c r="Q192" s="42">
        <f t="shared" si="12"/>
        <v>512869</v>
      </c>
    </row>
    <row r="193" spans="1:17" s="1" customFormat="1" ht="32.25" customHeight="1" x14ac:dyDescent="0.25">
      <c r="A193" s="17"/>
      <c r="B193" s="11" t="s">
        <v>1954</v>
      </c>
      <c r="C193" s="37" t="s">
        <v>687</v>
      </c>
      <c r="D193" s="38" t="s">
        <v>686</v>
      </c>
      <c r="E193" s="38"/>
      <c r="F193" s="72"/>
      <c r="G193" s="34" t="s">
        <v>413</v>
      </c>
      <c r="H193" s="37" t="s">
        <v>145</v>
      </c>
      <c r="I193" s="42">
        <v>205940.67796610171</v>
      </c>
      <c r="J193" s="42">
        <v>243010</v>
      </c>
      <c r="K193" s="37"/>
      <c r="L193" s="37"/>
      <c r="M193" s="42">
        <f t="shared" si="13"/>
        <v>205940.67796610171</v>
      </c>
      <c r="N193" s="42">
        <v>243010</v>
      </c>
      <c r="O193" s="36"/>
      <c r="P193" s="42">
        <f t="shared" si="11"/>
        <v>205940.67796610171</v>
      </c>
      <c r="Q193" s="42">
        <f t="shared" si="12"/>
        <v>243010</v>
      </c>
    </row>
    <row r="194" spans="1:17" s="1" customFormat="1" ht="32.25" customHeight="1" x14ac:dyDescent="0.25">
      <c r="A194" s="17"/>
      <c r="B194" s="11" t="s">
        <v>1954</v>
      </c>
      <c r="C194" s="37" t="s">
        <v>1785</v>
      </c>
      <c r="D194" s="38" t="s">
        <v>1786</v>
      </c>
      <c r="E194" s="38"/>
      <c r="F194" s="72"/>
      <c r="G194" s="34">
        <v>33588</v>
      </c>
      <c r="H194" s="49">
        <v>42906</v>
      </c>
      <c r="I194" s="42">
        <f>M194</f>
        <v>13516.949152542373</v>
      </c>
      <c r="J194" s="42">
        <v>15950</v>
      </c>
      <c r="K194" s="37"/>
      <c r="L194" s="37"/>
      <c r="M194" s="42">
        <f t="shared" si="13"/>
        <v>13516.949152542373</v>
      </c>
      <c r="N194" s="42">
        <v>15950</v>
      </c>
      <c r="O194" s="36"/>
      <c r="P194" s="42">
        <f t="shared" si="11"/>
        <v>13516.949152542373</v>
      </c>
      <c r="Q194" s="42">
        <f t="shared" si="12"/>
        <v>15950</v>
      </c>
    </row>
    <row r="195" spans="1:17" s="1" customFormat="1" ht="32.25" customHeight="1" x14ac:dyDescent="0.25">
      <c r="A195" s="17"/>
      <c r="B195" s="11" t="s">
        <v>1955</v>
      </c>
      <c r="C195" s="37" t="s">
        <v>688</v>
      </c>
      <c r="D195" s="38" t="s">
        <v>110</v>
      </c>
      <c r="E195" s="38"/>
      <c r="F195" s="72"/>
      <c r="G195" s="34" t="s">
        <v>414</v>
      </c>
      <c r="H195" s="37" t="s">
        <v>160</v>
      </c>
      <c r="I195" s="42">
        <v>547288.13559322036</v>
      </c>
      <c r="J195" s="42">
        <v>645800</v>
      </c>
      <c r="K195" s="37"/>
      <c r="L195" s="37"/>
      <c r="M195" s="42">
        <f t="shared" si="13"/>
        <v>547288.13559322036</v>
      </c>
      <c r="N195" s="42">
        <v>645800</v>
      </c>
      <c r="O195" s="36"/>
      <c r="P195" s="42">
        <f t="shared" si="11"/>
        <v>547288.13559322036</v>
      </c>
      <c r="Q195" s="42">
        <f t="shared" si="12"/>
        <v>645800</v>
      </c>
    </row>
    <row r="196" spans="1:17" s="1" customFormat="1" ht="32.25" customHeight="1" x14ac:dyDescent="0.25">
      <c r="A196" s="17"/>
      <c r="B196" s="11" t="s">
        <v>1956</v>
      </c>
      <c r="C196" s="37" t="s">
        <v>690</v>
      </c>
      <c r="D196" s="38" t="s">
        <v>689</v>
      </c>
      <c r="E196" s="38"/>
      <c r="F196" s="72"/>
      <c r="G196" s="34" t="s">
        <v>415</v>
      </c>
      <c r="H196" s="37" t="s">
        <v>160</v>
      </c>
      <c r="I196" s="42">
        <v>146355.93220338985</v>
      </c>
      <c r="J196" s="42">
        <v>172700</v>
      </c>
      <c r="K196" s="37"/>
      <c r="L196" s="37"/>
      <c r="M196" s="42">
        <f t="shared" si="13"/>
        <v>146355.93220338985</v>
      </c>
      <c r="N196" s="42">
        <v>172700</v>
      </c>
      <c r="O196" s="36"/>
      <c r="P196" s="42">
        <f t="shared" si="11"/>
        <v>146355.93220338985</v>
      </c>
      <c r="Q196" s="42">
        <f t="shared" si="12"/>
        <v>172700</v>
      </c>
    </row>
    <row r="197" spans="1:17" s="1" customFormat="1" ht="32.25" customHeight="1" x14ac:dyDescent="0.25">
      <c r="A197" s="17"/>
      <c r="B197" s="11" t="s">
        <v>1957</v>
      </c>
      <c r="C197" s="37" t="s">
        <v>628</v>
      </c>
      <c r="D197" s="38" t="s">
        <v>689</v>
      </c>
      <c r="E197" s="38"/>
      <c r="F197" s="72"/>
      <c r="G197" s="34" t="s">
        <v>416</v>
      </c>
      <c r="H197" s="37" t="s">
        <v>421</v>
      </c>
      <c r="I197" s="42">
        <v>62724.576271186445</v>
      </c>
      <c r="J197" s="42">
        <v>74015</v>
      </c>
      <c r="K197" s="37"/>
      <c r="L197" s="37"/>
      <c r="M197" s="42">
        <f t="shared" si="13"/>
        <v>62724.576271186445</v>
      </c>
      <c r="N197" s="42">
        <v>74015</v>
      </c>
      <c r="O197" s="36"/>
      <c r="P197" s="42">
        <f t="shared" si="11"/>
        <v>62724.576271186445</v>
      </c>
      <c r="Q197" s="42">
        <f t="shared" si="12"/>
        <v>74015</v>
      </c>
    </row>
    <row r="198" spans="1:17" s="1" customFormat="1" ht="32.25" customHeight="1" x14ac:dyDescent="0.25">
      <c r="A198" s="17"/>
      <c r="B198" s="11" t="s">
        <v>1958</v>
      </c>
      <c r="C198" s="37" t="s">
        <v>691</v>
      </c>
      <c r="D198" s="38" t="s">
        <v>682</v>
      </c>
      <c r="E198" s="38"/>
      <c r="F198" s="72"/>
      <c r="G198" s="34" t="s">
        <v>417</v>
      </c>
      <c r="H198" s="37" t="s">
        <v>421</v>
      </c>
      <c r="I198" s="42">
        <v>18576.271186440677</v>
      </c>
      <c r="J198" s="42">
        <v>21920</v>
      </c>
      <c r="K198" s="37"/>
      <c r="L198" s="37"/>
      <c r="M198" s="42">
        <f t="shared" si="13"/>
        <v>18576.271186440677</v>
      </c>
      <c r="N198" s="42">
        <v>21920</v>
      </c>
      <c r="O198" s="36"/>
      <c r="P198" s="42">
        <f t="shared" si="11"/>
        <v>18576.271186440677</v>
      </c>
      <c r="Q198" s="42">
        <f t="shared" si="12"/>
        <v>21920</v>
      </c>
    </row>
    <row r="199" spans="1:17" s="1" customFormat="1" ht="32.25" customHeight="1" x14ac:dyDescent="0.25">
      <c r="A199" s="17"/>
      <c r="B199" s="11" t="s">
        <v>1959</v>
      </c>
      <c r="C199" s="37" t="s">
        <v>692</v>
      </c>
      <c r="D199" s="38" t="s">
        <v>110</v>
      </c>
      <c r="E199" s="38"/>
      <c r="F199" s="72"/>
      <c r="G199" s="34" t="s">
        <v>418</v>
      </c>
      <c r="H199" s="37" t="s">
        <v>421</v>
      </c>
      <c r="I199" s="42">
        <v>234580.50847457629</v>
      </c>
      <c r="J199" s="42">
        <v>276805</v>
      </c>
      <c r="K199" s="37"/>
      <c r="L199" s="37"/>
      <c r="M199" s="42">
        <f t="shared" si="13"/>
        <v>234580.50847457629</v>
      </c>
      <c r="N199" s="42">
        <v>276805</v>
      </c>
      <c r="O199" s="36"/>
      <c r="P199" s="42">
        <f t="shared" si="11"/>
        <v>234580.50847457629</v>
      </c>
      <c r="Q199" s="42">
        <f t="shared" si="12"/>
        <v>276805</v>
      </c>
    </row>
    <row r="200" spans="1:17" s="1" customFormat="1" ht="32.25" customHeight="1" x14ac:dyDescent="0.25">
      <c r="A200" s="17"/>
      <c r="B200" s="11" t="s">
        <v>1960</v>
      </c>
      <c r="C200" s="37" t="s">
        <v>690</v>
      </c>
      <c r="D200" s="38" t="s">
        <v>689</v>
      </c>
      <c r="E200" s="38"/>
      <c r="F200" s="72"/>
      <c r="G200" s="34" t="s">
        <v>419</v>
      </c>
      <c r="H200" s="37" t="s">
        <v>421</v>
      </c>
      <c r="I200" s="42">
        <v>62716.949152542373</v>
      </c>
      <c r="J200" s="42">
        <v>74006</v>
      </c>
      <c r="K200" s="37"/>
      <c r="L200" s="37"/>
      <c r="M200" s="42">
        <f t="shared" si="13"/>
        <v>62716.949152542373</v>
      </c>
      <c r="N200" s="42">
        <v>74006</v>
      </c>
      <c r="O200" s="36"/>
      <c r="P200" s="42">
        <f t="shared" si="11"/>
        <v>62716.949152542373</v>
      </c>
      <c r="Q200" s="42">
        <f t="shared" si="12"/>
        <v>74006</v>
      </c>
    </row>
    <row r="201" spans="1:17" s="1" customFormat="1" ht="32.25" customHeight="1" x14ac:dyDescent="0.25">
      <c r="A201" s="17"/>
      <c r="B201" s="11" t="s">
        <v>1961</v>
      </c>
      <c r="C201" s="37" t="s">
        <v>693</v>
      </c>
      <c r="D201" s="38" t="s">
        <v>578</v>
      </c>
      <c r="E201" s="38"/>
      <c r="F201" s="72"/>
      <c r="G201" s="34" t="s">
        <v>426</v>
      </c>
      <c r="H201" s="37" t="s">
        <v>196</v>
      </c>
      <c r="I201" s="42">
        <v>202462.54237288135</v>
      </c>
      <c r="J201" s="42">
        <v>238905.8</v>
      </c>
      <c r="K201" s="37"/>
      <c r="L201" s="37"/>
      <c r="M201" s="42">
        <f t="shared" si="13"/>
        <v>202462.54237288135</v>
      </c>
      <c r="N201" s="42">
        <v>238905.8</v>
      </c>
      <c r="O201" s="36"/>
      <c r="P201" s="42">
        <f t="shared" si="11"/>
        <v>202462.54237288135</v>
      </c>
      <c r="Q201" s="42">
        <f t="shared" si="12"/>
        <v>238905.8</v>
      </c>
    </row>
    <row r="202" spans="1:17" s="1" customFormat="1" ht="32.25" customHeight="1" x14ac:dyDescent="0.25">
      <c r="A202" s="17"/>
      <c r="B202" s="11" t="s">
        <v>1962</v>
      </c>
      <c r="C202" s="37" t="s">
        <v>695</v>
      </c>
      <c r="D202" s="38" t="s">
        <v>694</v>
      </c>
      <c r="E202" s="38"/>
      <c r="F202" s="72"/>
      <c r="G202" s="34" t="s">
        <v>427</v>
      </c>
      <c r="H202" s="37" t="s">
        <v>357</v>
      </c>
      <c r="I202" s="42">
        <v>4237288.1355932206</v>
      </c>
      <c r="J202" s="42">
        <v>5000000</v>
      </c>
      <c r="K202" s="37"/>
      <c r="L202" s="37"/>
      <c r="M202" s="42">
        <f t="shared" si="13"/>
        <v>4237288.1355932206</v>
      </c>
      <c r="N202" s="42">
        <v>5000000</v>
      </c>
      <c r="O202" s="36"/>
      <c r="P202" s="42">
        <f t="shared" si="11"/>
        <v>4237288.1355932206</v>
      </c>
      <c r="Q202" s="42">
        <f t="shared" si="12"/>
        <v>5000000</v>
      </c>
    </row>
    <row r="203" spans="1:17" s="1" customFormat="1" ht="32.25" customHeight="1" x14ac:dyDescent="0.25">
      <c r="A203" s="17"/>
      <c r="B203" s="11" t="s">
        <v>1962</v>
      </c>
      <c r="C203" s="37" t="s">
        <v>695</v>
      </c>
      <c r="D203" s="38" t="s">
        <v>694</v>
      </c>
      <c r="E203" s="38"/>
      <c r="F203" s="72"/>
      <c r="G203" s="34">
        <v>29339</v>
      </c>
      <c r="H203" s="49">
        <v>42796</v>
      </c>
      <c r="I203" s="42">
        <f>M203</f>
        <v>4237288.1355932206</v>
      </c>
      <c r="J203" s="42">
        <v>5000000</v>
      </c>
      <c r="K203" s="37"/>
      <c r="L203" s="37"/>
      <c r="M203" s="42">
        <f t="shared" si="13"/>
        <v>4237288.1355932206</v>
      </c>
      <c r="N203" s="42">
        <v>5000000</v>
      </c>
      <c r="O203" s="36"/>
      <c r="P203" s="42">
        <f t="shared" si="11"/>
        <v>4237288.1355932206</v>
      </c>
      <c r="Q203" s="42">
        <f t="shared" si="12"/>
        <v>5000000</v>
      </c>
    </row>
    <row r="204" spans="1:17" s="1" customFormat="1" ht="32.25" customHeight="1" x14ac:dyDescent="0.25">
      <c r="A204" s="17"/>
      <c r="B204" s="11" t="s">
        <v>1962</v>
      </c>
      <c r="C204" s="37" t="s">
        <v>695</v>
      </c>
      <c r="D204" s="38" t="s">
        <v>694</v>
      </c>
      <c r="E204" s="38"/>
      <c r="F204" s="72"/>
      <c r="G204" s="34">
        <v>18640</v>
      </c>
      <c r="H204" s="49">
        <v>42712</v>
      </c>
      <c r="I204" s="42">
        <f>M204</f>
        <v>296610.16949152545</v>
      </c>
      <c r="J204" s="42">
        <v>350000</v>
      </c>
      <c r="K204" s="37"/>
      <c r="L204" s="37"/>
      <c r="M204" s="42">
        <f t="shared" si="13"/>
        <v>296610.16949152545</v>
      </c>
      <c r="N204" s="42">
        <v>350000</v>
      </c>
      <c r="O204" s="36"/>
      <c r="P204" s="42">
        <f t="shared" si="11"/>
        <v>296610.16949152545</v>
      </c>
      <c r="Q204" s="42">
        <f t="shared" si="12"/>
        <v>350000</v>
      </c>
    </row>
    <row r="205" spans="1:17" s="1" customFormat="1" ht="32.25" customHeight="1" x14ac:dyDescent="0.25">
      <c r="A205" s="17"/>
      <c r="B205" s="11" t="s">
        <v>1962</v>
      </c>
      <c r="C205" s="37" t="s">
        <v>695</v>
      </c>
      <c r="D205" s="38" t="s">
        <v>694</v>
      </c>
      <c r="E205" s="38"/>
      <c r="F205" s="72"/>
      <c r="G205" s="34">
        <v>31070</v>
      </c>
      <c r="H205" s="49">
        <v>42838</v>
      </c>
      <c r="I205" s="42">
        <v>5360169.49</v>
      </c>
      <c r="J205" s="42">
        <v>6325000</v>
      </c>
      <c r="K205" s="37"/>
      <c r="L205" s="37"/>
      <c r="M205" s="42">
        <f t="shared" si="13"/>
        <v>5360169.4915254237</v>
      </c>
      <c r="N205" s="42">
        <v>6325000</v>
      </c>
      <c r="O205" s="36"/>
      <c r="P205" s="42">
        <f t="shared" si="11"/>
        <v>5360169.4915254237</v>
      </c>
      <c r="Q205" s="42">
        <f t="shared" si="12"/>
        <v>6325000</v>
      </c>
    </row>
    <row r="206" spans="1:17" s="1" customFormat="1" ht="32.25" customHeight="1" x14ac:dyDescent="0.25">
      <c r="A206" s="125"/>
      <c r="B206" s="112" t="s">
        <v>1963</v>
      </c>
      <c r="C206" s="91">
        <v>42573</v>
      </c>
      <c r="D206" s="113" t="s">
        <v>142</v>
      </c>
      <c r="E206" s="113"/>
      <c r="F206" s="72"/>
      <c r="G206" s="85" t="s">
        <v>462</v>
      </c>
      <c r="H206" s="86" t="s">
        <v>202</v>
      </c>
      <c r="I206" s="87">
        <v>104237.28813559322</v>
      </c>
      <c r="J206" s="87">
        <v>123000</v>
      </c>
      <c r="K206" s="37"/>
      <c r="L206" s="37"/>
      <c r="M206" s="42">
        <f t="shared" si="13"/>
        <v>104237.28813559322</v>
      </c>
      <c r="N206" s="42">
        <v>123000</v>
      </c>
      <c r="O206" s="36"/>
      <c r="P206" s="42">
        <f t="shared" si="11"/>
        <v>104237.28813559322</v>
      </c>
      <c r="Q206" s="42">
        <f t="shared" si="12"/>
        <v>123000</v>
      </c>
    </row>
    <row r="207" spans="1:17" s="1" customFormat="1" ht="55.5" customHeight="1" x14ac:dyDescent="0.25">
      <c r="A207" s="125"/>
      <c r="B207" s="112" t="s">
        <v>1964</v>
      </c>
      <c r="C207" s="89" t="s">
        <v>472</v>
      </c>
      <c r="D207" s="113"/>
      <c r="E207" s="113"/>
      <c r="F207" s="72"/>
      <c r="G207" s="34" t="s">
        <v>473</v>
      </c>
      <c r="H207" s="37" t="s">
        <v>232</v>
      </c>
      <c r="I207" s="42">
        <v>423728.81355932204</v>
      </c>
      <c r="J207" s="42">
        <v>500000</v>
      </c>
      <c r="K207" s="37"/>
      <c r="L207" s="37"/>
      <c r="M207" s="42">
        <f t="shared" si="13"/>
        <v>423728.81355932204</v>
      </c>
      <c r="N207" s="42">
        <v>500000</v>
      </c>
      <c r="O207" s="36"/>
      <c r="P207" s="42">
        <f t="shared" si="11"/>
        <v>423728.81355932204</v>
      </c>
      <c r="Q207" s="42">
        <f t="shared" si="12"/>
        <v>500000</v>
      </c>
    </row>
    <row r="208" spans="1:17" s="1" customFormat="1" ht="32.25" customHeight="1" x14ac:dyDescent="0.25">
      <c r="A208" s="17"/>
      <c r="B208" s="11" t="s">
        <v>1965</v>
      </c>
      <c r="C208" s="37" t="s">
        <v>697</v>
      </c>
      <c r="D208" s="38" t="s">
        <v>696</v>
      </c>
      <c r="E208" s="38"/>
      <c r="F208" s="72"/>
      <c r="G208" s="34" t="s">
        <v>474</v>
      </c>
      <c r="H208" s="37" t="s">
        <v>116</v>
      </c>
      <c r="I208" s="42">
        <v>169491.52542372883</v>
      </c>
      <c r="J208" s="42">
        <v>200000</v>
      </c>
      <c r="K208" s="37"/>
      <c r="L208" s="37"/>
      <c r="M208" s="42">
        <f t="shared" si="13"/>
        <v>169491.52542372883</v>
      </c>
      <c r="N208" s="42">
        <v>200000</v>
      </c>
      <c r="O208" s="36"/>
      <c r="P208" s="42">
        <f t="shared" si="11"/>
        <v>169491.52542372883</v>
      </c>
      <c r="Q208" s="42">
        <f t="shared" si="12"/>
        <v>200000</v>
      </c>
    </row>
    <row r="209" spans="1:18" s="1" customFormat="1" ht="32.25" customHeight="1" x14ac:dyDescent="0.25">
      <c r="A209" s="125"/>
      <c r="B209" s="112" t="s">
        <v>1966</v>
      </c>
      <c r="C209" s="88">
        <v>38</v>
      </c>
      <c r="D209" s="113" t="s">
        <v>698</v>
      </c>
      <c r="E209" s="113"/>
      <c r="F209" s="72"/>
      <c r="G209" s="34" t="s">
        <v>476</v>
      </c>
      <c r="H209" s="37" t="s">
        <v>331</v>
      </c>
      <c r="I209" s="42">
        <v>170289.5</v>
      </c>
      <c r="J209" s="42">
        <v>170289.5</v>
      </c>
      <c r="K209" s="37"/>
      <c r="L209" s="37"/>
      <c r="M209" s="42">
        <v>170289.5</v>
      </c>
      <c r="N209" s="42">
        <v>170289.5</v>
      </c>
      <c r="O209" s="37"/>
      <c r="P209" s="42">
        <f t="shared" si="11"/>
        <v>170289.5</v>
      </c>
      <c r="Q209" s="42">
        <f t="shared" si="12"/>
        <v>170289.5</v>
      </c>
      <c r="R209" s="5"/>
    </row>
    <row r="210" spans="1:18" s="1" customFormat="1" ht="32.25" customHeight="1" x14ac:dyDescent="0.25">
      <c r="A210" s="125"/>
      <c r="B210" s="112" t="s">
        <v>1967</v>
      </c>
      <c r="C210" s="88">
        <v>38</v>
      </c>
      <c r="D210" s="113" t="s">
        <v>698</v>
      </c>
      <c r="E210" s="113"/>
      <c r="F210" s="72"/>
      <c r="G210" s="34" t="s">
        <v>477</v>
      </c>
      <c r="H210" s="37" t="s">
        <v>143</v>
      </c>
      <c r="I210" s="42">
        <v>170289.5</v>
      </c>
      <c r="J210" s="42">
        <v>170289.5</v>
      </c>
      <c r="K210" s="37"/>
      <c r="L210" s="37"/>
      <c r="M210" s="42">
        <v>170289.5</v>
      </c>
      <c r="N210" s="42">
        <v>170289.5</v>
      </c>
      <c r="O210" s="37"/>
      <c r="P210" s="42">
        <f t="shared" si="11"/>
        <v>170289.5</v>
      </c>
      <c r="Q210" s="42">
        <f t="shared" si="12"/>
        <v>170289.5</v>
      </c>
      <c r="R210" s="5"/>
    </row>
    <row r="211" spans="1:18" s="1" customFormat="1" ht="32.25" customHeight="1" x14ac:dyDescent="0.25">
      <c r="A211" s="17"/>
      <c r="B211" s="11" t="s">
        <v>1968</v>
      </c>
      <c r="C211" s="37" t="s">
        <v>699</v>
      </c>
      <c r="D211" s="38" t="s">
        <v>623</v>
      </c>
      <c r="E211" s="38"/>
      <c r="F211" s="72"/>
      <c r="G211" s="85" t="s">
        <v>478</v>
      </c>
      <c r="H211" s="86" t="s">
        <v>203</v>
      </c>
      <c r="I211" s="87">
        <v>265394.19491525425</v>
      </c>
      <c r="J211" s="87">
        <v>313165.15000000002</v>
      </c>
      <c r="K211" s="37"/>
      <c r="L211" s="37"/>
      <c r="M211" s="42">
        <f>N211/1.18</f>
        <v>265394.19491525425</v>
      </c>
      <c r="N211" s="42">
        <v>313165.15000000002</v>
      </c>
      <c r="O211" s="36"/>
      <c r="P211" s="42">
        <f t="shared" si="11"/>
        <v>265394.19491525425</v>
      </c>
      <c r="Q211" s="42">
        <f t="shared" si="12"/>
        <v>313165.15000000002</v>
      </c>
    </row>
    <row r="212" spans="1:18" s="1" customFormat="1" ht="32.25" customHeight="1" x14ac:dyDescent="0.25">
      <c r="A212" s="17"/>
      <c r="B212" s="11" t="s">
        <v>1969</v>
      </c>
      <c r="C212" s="37" t="s">
        <v>700</v>
      </c>
      <c r="D212" s="38" t="s">
        <v>621</v>
      </c>
      <c r="E212" s="38"/>
      <c r="F212" s="72"/>
      <c r="G212" s="34" t="s">
        <v>479</v>
      </c>
      <c r="H212" s="37" t="s">
        <v>106</v>
      </c>
      <c r="I212" s="42">
        <v>84745.762711864416</v>
      </c>
      <c r="J212" s="42">
        <v>100000</v>
      </c>
      <c r="K212" s="37"/>
      <c r="L212" s="37"/>
      <c r="M212" s="42">
        <f t="shared" ref="M212:M227" si="14">N212/1.18</f>
        <v>84745.762711864416</v>
      </c>
      <c r="N212" s="42">
        <v>100000</v>
      </c>
      <c r="O212" s="36"/>
      <c r="P212" s="42">
        <f t="shared" si="11"/>
        <v>84745.762711864416</v>
      </c>
      <c r="Q212" s="42">
        <f t="shared" si="12"/>
        <v>100000</v>
      </c>
    </row>
    <row r="213" spans="1:18" s="1" customFormat="1" ht="32.25" customHeight="1" x14ac:dyDescent="0.25">
      <c r="A213" s="17"/>
      <c r="B213" s="11" t="s">
        <v>1970</v>
      </c>
      <c r="C213" s="37" t="s">
        <v>701</v>
      </c>
      <c r="D213" s="38" t="s">
        <v>558</v>
      </c>
      <c r="E213" s="38"/>
      <c r="F213" s="72"/>
      <c r="G213" s="34" t="s">
        <v>480</v>
      </c>
      <c r="H213" s="37" t="s">
        <v>106</v>
      </c>
      <c r="I213" s="42">
        <v>115850</v>
      </c>
      <c r="J213" s="42">
        <v>136703</v>
      </c>
      <c r="K213" s="37"/>
      <c r="L213" s="37"/>
      <c r="M213" s="42">
        <f t="shared" si="14"/>
        <v>115850</v>
      </c>
      <c r="N213" s="42">
        <v>136703</v>
      </c>
      <c r="O213" s="36"/>
      <c r="P213" s="42">
        <f t="shared" si="11"/>
        <v>115850</v>
      </c>
      <c r="Q213" s="42">
        <f t="shared" si="12"/>
        <v>136703</v>
      </c>
    </row>
    <row r="214" spans="1:18" s="1" customFormat="1" ht="32.25" customHeight="1" x14ac:dyDescent="0.25">
      <c r="A214" s="17"/>
      <c r="B214" s="11" t="s">
        <v>1971</v>
      </c>
      <c r="C214" s="37" t="s">
        <v>703</v>
      </c>
      <c r="D214" s="38" t="s">
        <v>702</v>
      </c>
      <c r="E214" s="38"/>
      <c r="F214" s="72"/>
      <c r="G214" s="85" t="s">
        <v>481</v>
      </c>
      <c r="H214" s="86" t="s">
        <v>165</v>
      </c>
      <c r="I214" s="87">
        <v>248719</v>
      </c>
      <c r="J214" s="87">
        <v>293488.42</v>
      </c>
      <c r="K214" s="37"/>
      <c r="L214" s="37"/>
      <c r="M214" s="42">
        <f t="shared" si="14"/>
        <v>248719</v>
      </c>
      <c r="N214" s="42">
        <v>293488.42</v>
      </c>
      <c r="O214" s="36"/>
      <c r="P214" s="42">
        <f t="shared" si="11"/>
        <v>248719</v>
      </c>
      <c r="Q214" s="42">
        <f t="shared" si="12"/>
        <v>293488.42</v>
      </c>
    </row>
    <row r="215" spans="1:18" s="1" customFormat="1" ht="32.25" customHeight="1" x14ac:dyDescent="0.25">
      <c r="A215" s="17"/>
      <c r="B215" s="11" t="s">
        <v>1972</v>
      </c>
      <c r="C215" s="37" t="s">
        <v>704</v>
      </c>
      <c r="D215" s="38" t="s">
        <v>243</v>
      </c>
      <c r="E215" s="38"/>
      <c r="F215" s="72"/>
      <c r="G215" s="34" t="s">
        <v>482</v>
      </c>
      <c r="H215" s="37" t="s">
        <v>144</v>
      </c>
      <c r="I215" s="42">
        <v>46246</v>
      </c>
      <c r="J215" s="42">
        <v>54570.28</v>
      </c>
      <c r="K215" s="37"/>
      <c r="L215" s="37"/>
      <c r="M215" s="42">
        <f t="shared" si="14"/>
        <v>46246</v>
      </c>
      <c r="N215" s="42">
        <v>54570.28</v>
      </c>
      <c r="O215" s="36"/>
      <c r="P215" s="42">
        <f t="shared" si="11"/>
        <v>46246</v>
      </c>
      <c r="Q215" s="42">
        <f t="shared" si="12"/>
        <v>54570.28</v>
      </c>
    </row>
    <row r="216" spans="1:18" s="1" customFormat="1" ht="32.25" customHeight="1" x14ac:dyDescent="0.25">
      <c r="A216" s="17"/>
      <c r="B216" s="11" t="s">
        <v>1973</v>
      </c>
      <c r="C216" s="37" t="s">
        <v>706</v>
      </c>
      <c r="D216" s="38" t="s">
        <v>705</v>
      </c>
      <c r="E216" s="38"/>
      <c r="F216" s="72"/>
      <c r="G216" s="85" t="s">
        <v>483</v>
      </c>
      <c r="H216" s="86" t="s">
        <v>115</v>
      </c>
      <c r="I216" s="87">
        <v>587250</v>
      </c>
      <c r="J216" s="87">
        <v>692955</v>
      </c>
      <c r="K216" s="37"/>
      <c r="L216" s="37"/>
      <c r="M216" s="42">
        <f t="shared" si="14"/>
        <v>587250</v>
      </c>
      <c r="N216" s="42">
        <v>692955</v>
      </c>
      <c r="O216" s="36"/>
      <c r="P216" s="42">
        <f t="shared" si="11"/>
        <v>587250</v>
      </c>
      <c r="Q216" s="42">
        <f t="shared" si="12"/>
        <v>692955</v>
      </c>
    </row>
    <row r="217" spans="1:18" s="1" customFormat="1" ht="32.25" customHeight="1" x14ac:dyDescent="0.25">
      <c r="A217" s="17"/>
      <c r="B217" s="11" t="s">
        <v>1973</v>
      </c>
      <c r="C217" s="37" t="s">
        <v>706</v>
      </c>
      <c r="D217" s="38" t="s">
        <v>705</v>
      </c>
      <c r="E217" s="38"/>
      <c r="F217" s="72"/>
      <c r="G217" s="34" t="s">
        <v>484</v>
      </c>
      <c r="H217" s="37" t="s">
        <v>117</v>
      </c>
      <c r="I217" s="42">
        <v>587250</v>
      </c>
      <c r="J217" s="42">
        <v>692955</v>
      </c>
      <c r="K217" s="37"/>
      <c r="L217" s="37"/>
      <c r="M217" s="42">
        <f t="shared" si="14"/>
        <v>587250</v>
      </c>
      <c r="N217" s="42">
        <v>692955</v>
      </c>
      <c r="O217" s="36"/>
      <c r="P217" s="42">
        <f t="shared" si="11"/>
        <v>587250</v>
      </c>
      <c r="Q217" s="42">
        <f t="shared" si="12"/>
        <v>692955</v>
      </c>
    </row>
    <row r="218" spans="1:18" s="1" customFormat="1" ht="32.25" customHeight="1" x14ac:dyDescent="0.25">
      <c r="A218" s="17"/>
      <c r="B218" s="11" t="s">
        <v>1974</v>
      </c>
      <c r="C218" s="416" t="s">
        <v>707</v>
      </c>
      <c r="D218" s="412" t="s">
        <v>636</v>
      </c>
      <c r="E218" s="38"/>
      <c r="F218" s="72"/>
      <c r="G218" s="85" t="s">
        <v>485</v>
      </c>
      <c r="H218" s="86" t="s">
        <v>148</v>
      </c>
      <c r="I218" s="87">
        <v>147200</v>
      </c>
      <c r="J218" s="87">
        <v>173696</v>
      </c>
      <c r="K218" s="37"/>
      <c r="L218" s="37"/>
      <c r="M218" s="42">
        <f t="shared" si="14"/>
        <v>147200</v>
      </c>
      <c r="N218" s="42">
        <v>173696</v>
      </c>
      <c r="O218" s="36"/>
      <c r="P218" s="42">
        <f t="shared" si="11"/>
        <v>147200</v>
      </c>
      <c r="Q218" s="42">
        <f t="shared" si="12"/>
        <v>173696</v>
      </c>
    </row>
    <row r="219" spans="1:18" s="1" customFormat="1" ht="32.25" customHeight="1" x14ac:dyDescent="0.25">
      <c r="A219" s="17"/>
      <c r="B219" s="11" t="s">
        <v>1974</v>
      </c>
      <c r="C219" s="417"/>
      <c r="D219" s="414"/>
      <c r="E219" s="38"/>
      <c r="F219" s="72"/>
      <c r="G219" s="85">
        <v>15032</v>
      </c>
      <c r="H219" s="99">
        <v>42626</v>
      </c>
      <c r="I219" s="87">
        <v>52500</v>
      </c>
      <c r="J219" s="87">
        <v>61950</v>
      </c>
      <c r="K219" s="37"/>
      <c r="L219" s="37"/>
      <c r="M219" s="42">
        <f t="shared" si="14"/>
        <v>52500</v>
      </c>
      <c r="N219" s="42">
        <v>61950</v>
      </c>
      <c r="O219" s="36"/>
      <c r="P219" s="42">
        <f t="shared" si="11"/>
        <v>52500</v>
      </c>
      <c r="Q219" s="42">
        <f t="shared" si="12"/>
        <v>61950</v>
      </c>
    </row>
    <row r="220" spans="1:18" s="1" customFormat="1" ht="32.25" customHeight="1" x14ac:dyDescent="0.25">
      <c r="A220" s="17"/>
      <c r="B220" s="11" t="s">
        <v>1975</v>
      </c>
      <c r="C220" s="37" t="s">
        <v>709</v>
      </c>
      <c r="D220" s="38" t="s">
        <v>708</v>
      </c>
      <c r="E220" s="38"/>
      <c r="F220" s="72"/>
      <c r="G220" s="85" t="s">
        <v>486</v>
      </c>
      <c r="H220" s="86" t="s">
        <v>203</v>
      </c>
      <c r="I220" s="87">
        <v>75000</v>
      </c>
      <c r="J220" s="87">
        <v>88500</v>
      </c>
      <c r="K220" s="37"/>
      <c r="L220" s="37"/>
      <c r="M220" s="42">
        <f t="shared" si="14"/>
        <v>75000</v>
      </c>
      <c r="N220" s="42">
        <v>88500</v>
      </c>
      <c r="O220" s="36"/>
      <c r="P220" s="42">
        <f t="shared" si="11"/>
        <v>75000</v>
      </c>
      <c r="Q220" s="42">
        <f t="shared" si="12"/>
        <v>88500</v>
      </c>
    </row>
    <row r="221" spans="1:18" s="1" customFormat="1" ht="32.25" customHeight="1" x14ac:dyDescent="0.25">
      <c r="A221" s="17"/>
      <c r="B221" s="11" t="s">
        <v>1975</v>
      </c>
      <c r="C221" s="37" t="s">
        <v>1755</v>
      </c>
      <c r="D221" s="38" t="s">
        <v>1756</v>
      </c>
      <c r="E221" s="38"/>
      <c r="F221" s="72"/>
      <c r="G221" s="85">
        <v>17100</v>
      </c>
      <c r="H221" s="99">
        <v>42676</v>
      </c>
      <c r="I221" s="87">
        <v>590700</v>
      </c>
      <c r="J221" s="87">
        <v>697026</v>
      </c>
      <c r="K221" s="37"/>
      <c r="L221" s="37"/>
      <c r="M221" s="42">
        <f t="shared" si="14"/>
        <v>590700</v>
      </c>
      <c r="N221" s="42">
        <v>697026</v>
      </c>
      <c r="O221" s="36"/>
      <c r="P221" s="42">
        <f t="shared" si="11"/>
        <v>590700</v>
      </c>
      <c r="Q221" s="42">
        <f>N221</f>
        <v>697026</v>
      </c>
    </row>
    <row r="222" spans="1:18" s="1" customFormat="1" ht="32.25" customHeight="1" x14ac:dyDescent="0.25">
      <c r="A222" s="17"/>
      <c r="B222" s="11" t="s">
        <v>1976</v>
      </c>
      <c r="C222" s="37" t="s">
        <v>710</v>
      </c>
      <c r="D222" s="38" t="s">
        <v>364</v>
      </c>
      <c r="E222" s="38"/>
      <c r="F222" s="72"/>
      <c r="G222" s="85" t="s">
        <v>487</v>
      </c>
      <c r="H222" s="86" t="s">
        <v>165</v>
      </c>
      <c r="I222" s="87">
        <v>95700</v>
      </c>
      <c r="J222" s="87">
        <v>112926</v>
      </c>
      <c r="K222" s="37"/>
      <c r="L222" s="37"/>
      <c r="M222" s="42">
        <f t="shared" si="14"/>
        <v>95700</v>
      </c>
      <c r="N222" s="42">
        <v>112926</v>
      </c>
      <c r="O222" s="36"/>
      <c r="P222" s="42">
        <f t="shared" si="11"/>
        <v>95700</v>
      </c>
      <c r="Q222" s="42">
        <f t="shared" si="12"/>
        <v>112926</v>
      </c>
    </row>
    <row r="223" spans="1:18" s="1" customFormat="1" ht="32.25" customHeight="1" x14ac:dyDescent="0.25">
      <c r="A223" s="17"/>
      <c r="B223" s="11" t="s">
        <v>1977</v>
      </c>
      <c r="C223" s="37" t="s">
        <v>712</v>
      </c>
      <c r="D223" s="38" t="s">
        <v>711</v>
      </c>
      <c r="E223" s="38"/>
      <c r="F223" s="72"/>
      <c r="G223" s="34" t="s">
        <v>488</v>
      </c>
      <c r="H223" s="37" t="s">
        <v>357</v>
      </c>
      <c r="I223" s="42">
        <v>241538.98305084748</v>
      </c>
      <c r="J223" s="42">
        <v>285016</v>
      </c>
      <c r="K223" s="37"/>
      <c r="L223" s="37"/>
      <c r="M223" s="42">
        <f t="shared" si="14"/>
        <v>241538.98305084748</v>
      </c>
      <c r="N223" s="42">
        <v>285016</v>
      </c>
      <c r="O223" s="36"/>
      <c r="P223" s="42">
        <f t="shared" si="11"/>
        <v>241538.98305084748</v>
      </c>
      <c r="Q223" s="42">
        <f t="shared" si="12"/>
        <v>285016</v>
      </c>
    </row>
    <row r="224" spans="1:18" s="1" customFormat="1" ht="50.25" customHeight="1" x14ac:dyDescent="0.25">
      <c r="A224" s="17"/>
      <c r="B224" s="11" t="s">
        <v>1978</v>
      </c>
      <c r="C224" s="37" t="s">
        <v>714</v>
      </c>
      <c r="D224" s="38" t="s">
        <v>713</v>
      </c>
      <c r="E224" s="38"/>
      <c r="F224" s="72"/>
      <c r="G224" s="96" t="s">
        <v>490</v>
      </c>
      <c r="H224" s="97" t="s">
        <v>173</v>
      </c>
      <c r="I224" s="87">
        <v>172923.72881355934</v>
      </c>
      <c r="J224" s="98">
        <v>204050</v>
      </c>
      <c r="K224" s="37"/>
      <c r="L224" s="37"/>
      <c r="M224" s="42">
        <f t="shared" si="14"/>
        <v>172923.72881355934</v>
      </c>
      <c r="N224" s="25">
        <v>204050</v>
      </c>
      <c r="O224" s="36"/>
      <c r="P224" s="42">
        <f t="shared" si="11"/>
        <v>172923.72881355934</v>
      </c>
      <c r="Q224" s="42">
        <f t="shared" si="12"/>
        <v>204050</v>
      </c>
    </row>
    <row r="225" spans="1:20" s="1" customFormat="1" ht="50.25" customHeight="1" x14ac:dyDescent="0.25">
      <c r="A225" s="17"/>
      <c r="B225" s="11" t="s">
        <v>1979</v>
      </c>
      <c r="C225" s="37" t="s">
        <v>716</v>
      </c>
      <c r="D225" s="38" t="s">
        <v>715</v>
      </c>
      <c r="E225" s="38"/>
      <c r="F225" s="72"/>
      <c r="G225" s="96" t="s">
        <v>491</v>
      </c>
      <c r="H225" s="97" t="s">
        <v>123</v>
      </c>
      <c r="I225" s="87">
        <v>209491.52542372883</v>
      </c>
      <c r="J225" s="98">
        <v>247200</v>
      </c>
      <c r="K225" s="37"/>
      <c r="L225" s="37"/>
      <c r="M225" s="42">
        <f t="shared" si="14"/>
        <v>209491.52542372883</v>
      </c>
      <c r="N225" s="25">
        <v>247200</v>
      </c>
      <c r="O225" s="36"/>
      <c r="P225" s="42">
        <f t="shared" si="11"/>
        <v>209491.52542372883</v>
      </c>
      <c r="Q225" s="42">
        <f t="shared" si="12"/>
        <v>247200</v>
      </c>
    </row>
    <row r="226" spans="1:20" s="1" customFormat="1" ht="50.25" customHeight="1" x14ac:dyDescent="0.25">
      <c r="A226" s="17"/>
      <c r="B226" s="11" t="s">
        <v>1980</v>
      </c>
      <c r="C226" s="37" t="s">
        <v>716</v>
      </c>
      <c r="D226" s="38" t="s">
        <v>715</v>
      </c>
      <c r="E226" s="38"/>
      <c r="F226" s="72"/>
      <c r="G226" s="96" t="s">
        <v>492</v>
      </c>
      <c r="H226" s="97" t="s">
        <v>124</v>
      </c>
      <c r="I226" s="87">
        <v>254237.28813559323</v>
      </c>
      <c r="J226" s="98">
        <v>300000</v>
      </c>
      <c r="K226" s="37"/>
      <c r="L226" s="37"/>
      <c r="M226" s="42">
        <f t="shared" si="14"/>
        <v>254237.28813559323</v>
      </c>
      <c r="N226" s="25">
        <v>300000</v>
      </c>
      <c r="O226" s="36"/>
      <c r="P226" s="42">
        <f t="shared" si="11"/>
        <v>254237.28813559323</v>
      </c>
      <c r="Q226" s="42">
        <f t="shared" si="12"/>
        <v>300000</v>
      </c>
    </row>
    <row r="227" spans="1:20" s="1" customFormat="1" ht="50.25" customHeight="1" x14ac:dyDescent="0.25">
      <c r="A227" s="17"/>
      <c r="B227" s="11" t="s">
        <v>1981</v>
      </c>
      <c r="C227" s="37" t="s">
        <v>718</v>
      </c>
      <c r="D227" s="38" t="s">
        <v>717</v>
      </c>
      <c r="E227" s="38"/>
      <c r="F227" s="72"/>
      <c r="G227" s="96" t="s">
        <v>493</v>
      </c>
      <c r="H227" s="97" t="s">
        <v>110</v>
      </c>
      <c r="I227" s="87">
        <v>217627.11864406781</v>
      </c>
      <c r="J227" s="98">
        <v>256800</v>
      </c>
      <c r="K227" s="37"/>
      <c r="L227" s="37"/>
      <c r="M227" s="42">
        <f t="shared" si="14"/>
        <v>217627.11864406781</v>
      </c>
      <c r="N227" s="25">
        <v>256800</v>
      </c>
      <c r="O227" s="36"/>
      <c r="P227" s="42">
        <f t="shared" si="11"/>
        <v>217627.11864406781</v>
      </c>
      <c r="Q227" s="42">
        <f t="shared" si="12"/>
        <v>256800</v>
      </c>
    </row>
    <row r="228" spans="1:20" s="1" customFormat="1" ht="50.25" customHeight="1" x14ac:dyDescent="0.25">
      <c r="A228" s="17"/>
      <c r="B228" s="11" t="s">
        <v>1982</v>
      </c>
      <c r="C228" s="37" t="s">
        <v>720</v>
      </c>
      <c r="D228" s="38" t="s">
        <v>719</v>
      </c>
      <c r="E228" s="38"/>
      <c r="F228" s="72"/>
      <c r="G228" s="40" t="s">
        <v>494</v>
      </c>
      <c r="H228" s="41" t="s">
        <v>107</v>
      </c>
      <c r="I228" s="42">
        <v>250380</v>
      </c>
      <c r="J228" s="25">
        <v>250380</v>
      </c>
      <c r="K228" s="37"/>
      <c r="L228" s="37"/>
      <c r="M228" s="25">
        <v>250380</v>
      </c>
      <c r="N228" s="25">
        <v>250380</v>
      </c>
      <c r="O228" s="36"/>
      <c r="P228" s="42">
        <f t="shared" si="11"/>
        <v>250380</v>
      </c>
      <c r="Q228" s="42">
        <f t="shared" si="12"/>
        <v>250380</v>
      </c>
    </row>
    <row r="229" spans="1:20" s="1" customFormat="1" ht="50.25" customHeight="1" x14ac:dyDescent="0.25">
      <c r="A229" s="17"/>
      <c r="B229" s="11" t="s">
        <v>1983</v>
      </c>
      <c r="C229" s="37" t="s">
        <v>721</v>
      </c>
      <c r="D229" s="38" t="s">
        <v>389</v>
      </c>
      <c r="E229" s="38"/>
      <c r="F229" s="72"/>
      <c r="G229" s="40" t="s">
        <v>495</v>
      </c>
      <c r="H229" s="41" t="s">
        <v>160</v>
      </c>
      <c r="I229" s="42">
        <v>108594</v>
      </c>
      <c r="J229" s="25">
        <v>108594</v>
      </c>
      <c r="K229" s="37"/>
      <c r="L229" s="37"/>
      <c r="M229" s="25">
        <v>108594</v>
      </c>
      <c r="N229" s="25">
        <v>108594</v>
      </c>
      <c r="O229" s="36"/>
      <c r="P229" s="42">
        <f t="shared" si="11"/>
        <v>108594</v>
      </c>
      <c r="Q229" s="42">
        <f t="shared" si="12"/>
        <v>108594</v>
      </c>
    </row>
    <row r="230" spans="1:20" s="1" customFormat="1" ht="50.25" customHeight="1" x14ac:dyDescent="0.25">
      <c r="A230" s="17"/>
      <c r="B230" s="11" t="s">
        <v>1984</v>
      </c>
      <c r="C230" s="37" t="s">
        <v>1781</v>
      </c>
      <c r="D230" s="38" t="s">
        <v>665</v>
      </c>
      <c r="E230" s="38"/>
      <c r="F230" s="72"/>
      <c r="G230" s="40" t="s">
        <v>1782</v>
      </c>
      <c r="H230" s="41">
        <v>42992</v>
      </c>
      <c r="I230" s="42">
        <f>J230</f>
        <v>24501</v>
      </c>
      <c r="J230" s="25">
        <v>24501</v>
      </c>
      <c r="K230" s="37"/>
      <c r="L230" s="37"/>
      <c r="M230" s="25">
        <f>N230</f>
        <v>24501</v>
      </c>
      <c r="N230" s="25">
        <v>24501</v>
      </c>
      <c r="O230" s="36"/>
      <c r="P230" s="42">
        <f>Q230</f>
        <v>24501</v>
      </c>
      <c r="Q230" s="42">
        <f t="shared" si="12"/>
        <v>24501</v>
      </c>
    </row>
    <row r="231" spans="1:20" s="1" customFormat="1" ht="50.25" customHeight="1" x14ac:dyDescent="0.25">
      <c r="A231" s="17"/>
      <c r="B231" s="11" t="s">
        <v>1984</v>
      </c>
      <c r="C231" s="37" t="s">
        <v>1783</v>
      </c>
      <c r="D231" s="38" t="s">
        <v>110</v>
      </c>
      <c r="E231" s="38"/>
      <c r="F231" s="72"/>
      <c r="G231" s="40" t="s">
        <v>1784</v>
      </c>
      <c r="H231" s="41">
        <v>42983</v>
      </c>
      <c r="I231" s="42">
        <v>46946</v>
      </c>
      <c r="J231" s="25">
        <v>46946</v>
      </c>
      <c r="K231" s="37"/>
      <c r="L231" s="37"/>
      <c r="M231" s="25">
        <v>46946</v>
      </c>
      <c r="N231" s="25">
        <v>46946</v>
      </c>
      <c r="O231" s="36"/>
      <c r="P231" s="42">
        <f>Q231</f>
        <v>46946</v>
      </c>
      <c r="Q231" s="42">
        <f t="shared" si="12"/>
        <v>46946</v>
      </c>
    </row>
    <row r="232" spans="1:20" s="1" customFormat="1" ht="34.5" customHeight="1" x14ac:dyDescent="0.25">
      <c r="A232" s="17"/>
      <c r="B232" s="11" t="s">
        <v>1984</v>
      </c>
      <c r="C232" s="37" t="s">
        <v>722</v>
      </c>
      <c r="D232" s="38" t="s">
        <v>123</v>
      </c>
      <c r="E232" s="38"/>
      <c r="F232" s="72"/>
      <c r="G232" s="34" t="s">
        <v>509</v>
      </c>
      <c r="H232" s="50" t="s">
        <v>420</v>
      </c>
      <c r="I232" s="42">
        <v>217328</v>
      </c>
      <c r="J232" s="25">
        <v>217328</v>
      </c>
      <c r="K232" s="50"/>
      <c r="L232" s="50"/>
      <c r="M232" s="25">
        <v>217328</v>
      </c>
      <c r="N232" s="25">
        <v>217328</v>
      </c>
      <c r="O232" s="54"/>
      <c r="P232" s="42">
        <f t="shared" si="11"/>
        <v>217328</v>
      </c>
      <c r="Q232" s="42">
        <f t="shared" si="12"/>
        <v>217328</v>
      </c>
      <c r="R232" s="6"/>
      <c r="S232" s="6"/>
      <c r="T232" s="6"/>
    </row>
    <row r="233" spans="1:20" s="1" customFormat="1" ht="48" customHeight="1" x14ac:dyDescent="0.25">
      <c r="A233" s="17"/>
      <c r="B233" s="11" t="s">
        <v>1985</v>
      </c>
      <c r="C233" s="37" t="s">
        <v>723</v>
      </c>
      <c r="D233" s="38" t="s">
        <v>123</v>
      </c>
      <c r="E233" s="38"/>
      <c r="F233" s="72"/>
      <c r="G233" s="34" t="s">
        <v>510</v>
      </c>
      <c r="H233" s="50" t="s">
        <v>420</v>
      </c>
      <c r="I233" s="42">
        <v>505482</v>
      </c>
      <c r="J233" s="25">
        <v>505482</v>
      </c>
      <c r="K233" s="50"/>
      <c r="L233" s="50"/>
      <c r="M233" s="25">
        <v>505482</v>
      </c>
      <c r="N233" s="25">
        <v>505482</v>
      </c>
      <c r="O233" s="54"/>
      <c r="P233" s="42">
        <f t="shared" si="11"/>
        <v>505482</v>
      </c>
      <c r="Q233" s="42">
        <f t="shared" si="12"/>
        <v>505482</v>
      </c>
      <c r="R233" s="6"/>
      <c r="S233" s="6"/>
      <c r="T233" s="6"/>
    </row>
    <row r="234" spans="1:20" s="1" customFormat="1" ht="34.5" customHeight="1" x14ac:dyDescent="0.25">
      <c r="A234" s="17"/>
      <c r="B234" s="11" t="s">
        <v>1986</v>
      </c>
      <c r="C234" s="37" t="s">
        <v>721</v>
      </c>
      <c r="D234" s="38" t="s">
        <v>123</v>
      </c>
      <c r="E234" s="38"/>
      <c r="F234" s="72"/>
      <c r="G234" s="34" t="s">
        <v>511</v>
      </c>
      <c r="H234" s="50" t="s">
        <v>420</v>
      </c>
      <c r="I234" s="42">
        <v>679523</v>
      </c>
      <c r="J234" s="25">
        <v>679523</v>
      </c>
      <c r="K234" s="50"/>
      <c r="L234" s="50"/>
      <c r="M234" s="25">
        <v>679523</v>
      </c>
      <c r="N234" s="25">
        <v>679523</v>
      </c>
      <c r="O234" s="54"/>
      <c r="P234" s="42">
        <f t="shared" si="11"/>
        <v>679523</v>
      </c>
      <c r="Q234" s="42">
        <f t="shared" si="12"/>
        <v>679523</v>
      </c>
      <c r="R234" s="6"/>
      <c r="S234" s="6"/>
      <c r="T234" s="6"/>
    </row>
    <row r="235" spans="1:20" s="1" customFormat="1" ht="39" customHeight="1" x14ac:dyDescent="0.25">
      <c r="A235" s="125"/>
      <c r="B235" s="112" t="s">
        <v>1987</v>
      </c>
      <c r="C235" s="89" t="s">
        <v>724</v>
      </c>
      <c r="D235" s="113" t="s">
        <v>698</v>
      </c>
      <c r="E235" s="113"/>
      <c r="F235" s="72"/>
      <c r="G235" s="34" t="s">
        <v>512</v>
      </c>
      <c r="H235" s="50" t="s">
        <v>501</v>
      </c>
      <c r="I235" s="42">
        <v>50000</v>
      </c>
      <c r="J235" s="25">
        <v>59000</v>
      </c>
      <c r="K235" s="37"/>
      <c r="L235" s="37"/>
      <c r="M235" s="25">
        <f>N235/1.18</f>
        <v>50000</v>
      </c>
      <c r="N235" s="25">
        <v>59000</v>
      </c>
      <c r="O235" s="36"/>
      <c r="P235" s="42">
        <f t="shared" si="11"/>
        <v>50000</v>
      </c>
      <c r="Q235" s="42">
        <f t="shared" si="12"/>
        <v>59000</v>
      </c>
    </row>
    <row r="236" spans="1:20" s="1" customFormat="1" ht="39" customHeight="1" x14ac:dyDescent="0.25">
      <c r="A236" s="125"/>
      <c r="B236" s="112" t="s">
        <v>1987</v>
      </c>
      <c r="C236" s="89" t="s">
        <v>1779</v>
      </c>
      <c r="D236" s="113" t="s">
        <v>1780</v>
      </c>
      <c r="E236" s="113"/>
      <c r="F236" s="72"/>
      <c r="G236" s="34">
        <v>19035</v>
      </c>
      <c r="H236" s="47">
        <v>42723</v>
      </c>
      <c r="I236" s="42">
        <v>242372.88</v>
      </c>
      <c r="J236" s="25">
        <v>286000</v>
      </c>
      <c r="K236" s="37"/>
      <c r="L236" s="37"/>
      <c r="M236" s="25">
        <f>N236/1.18</f>
        <v>242372.88135593222</v>
      </c>
      <c r="N236" s="25">
        <v>286000</v>
      </c>
      <c r="O236" s="36"/>
      <c r="P236" s="42">
        <f t="shared" si="11"/>
        <v>242372.88135593222</v>
      </c>
      <c r="Q236" s="42">
        <f t="shared" si="12"/>
        <v>286000</v>
      </c>
    </row>
    <row r="237" spans="1:20" s="1" customFormat="1" ht="39" customHeight="1" x14ac:dyDescent="0.25">
      <c r="A237" s="125"/>
      <c r="B237" s="112" t="s">
        <v>1987</v>
      </c>
      <c r="C237" s="132" t="s">
        <v>725</v>
      </c>
      <c r="D237" s="113" t="s">
        <v>698</v>
      </c>
      <c r="E237" s="113"/>
      <c r="F237" s="72"/>
      <c r="G237" s="34" t="s">
        <v>513</v>
      </c>
      <c r="H237" s="50" t="s">
        <v>501</v>
      </c>
      <c r="I237" s="42">
        <v>363559.32203389832</v>
      </c>
      <c r="J237" s="25">
        <v>429000</v>
      </c>
      <c r="K237" s="37"/>
      <c r="L237" s="37"/>
      <c r="M237" s="25">
        <f t="shared" ref="M237:M244" si="15">N237/1.18</f>
        <v>363559.32203389832</v>
      </c>
      <c r="N237" s="25">
        <v>429000</v>
      </c>
      <c r="O237" s="36"/>
      <c r="P237" s="42">
        <f t="shared" si="11"/>
        <v>363559.32203389832</v>
      </c>
      <c r="Q237" s="42">
        <f t="shared" si="12"/>
        <v>429000</v>
      </c>
    </row>
    <row r="238" spans="1:20" s="1" customFormat="1" ht="45" customHeight="1" x14ac:dyDescent="0.25">
      <c r="A238" s="125"/>
      <c r="B238" s="112" t="s">
        <v>1988</v>
      </c>
      <c r="C238" s="132" t="s">
        <v>725</v>
      </c>
      <c r="D238" s="113" t="s">
        <v>698</v>
      </c>
      <c r="E238" s="113"/>
      <c r="F238" s="72"/>
      <c r="G238" s="85" t="s">
        <v>514</v>
      </c>
      <c r="H238" s="106" t="s">
        <v>202</v>
      </c>
      <c r="I238" s="107">
        <v>2067969.4915254239</v>
      </c>
      <c r="J238" s="98">
        <v>2440204</v>
      </c>
      <c r="K238" s="37"/>
      <c r="L238" s="37"/>
      <c r="M238" s="25">
        <f t="shared" si="15"/>
        <v>2067969.4915254239</v>
      </c>
      <c r="N238" s="25">
        <v>2440204</v>
      </c>
      <c r="O238" s="36"/>
      <c r="P238" s="42">
        <f t="shared" si="11"/>
        <v>2067969.4915254239</v>
      </c>
      <c r="Q238" s="42">
        <f t="shared" si="12"/>
        <v>2440204</v>
      </c>
    </row>
    <row r="239" spans="1:20" s="1" customFormat="1" ht="48.75" customHeight="1" x14ac:dyDescent="0.25">
      <c r="A239" s="125"/>
      <c r="B239" s="112" t="s">
        <v>1989</v>
      </c>
      <c r="C239" s="132" t="s">
        <v>725</v>
      </c>
      <c r="D239" s="113" t="s">
        <v>698</v>
      </c>
      <c r="E239" s="113"/>
      <c r="F239" s="72"/>
      <c r="G239" s="34" t="s">
        <v>515</v>
      </c>
      <c r="H239" s="50" t="s">
        <v>357</v>
      </c>
      <c r="I239" s="42">
        <v>1116338.9830508474</v>
      </c>
      <c r="J239" s="25">
        <v>1317280</v>
      </c>
      <c r="K239" s="37"/>
      <c r="L239" s="37"/>
      <c r="M239" s="25">
        <f t="shared" si="15"/>
        <v>1116338.9830508474</v>
      </c>
      <c r="N239" s="25">
        <v>1317280</v>
      </c>
      <c r="O239" s="36"/>
      <c r="P239" s="42">
        <f t="shared" si="11"/>
        <v>1116338.9830508474</v>
      </c>
      <c r="Q239" s="42">
        <f t="shared" si="12"/>
        <v>1317280</v>
      </c>
    </row>
    <row r="240" spans="1:20" s="1" customFormat="1" ht="35.25" customHeight="1" x14ac:dyDescent="0.25">
      <c r="A240" s="17"/>
      <c r="B240" s="11" t="s">
        <v>1990</v>
      </c>
      <c r="C240" s="37" t="s">
        <v>726</v>
      </c>
      <c r="D240" s="38" t="s">
        <v>549</v>
      </c>
      <c r="E240" s="38"/>
      <c r="F240" s="72"/>
      <c r="G240" s="34" t="s">
        <v>516</v>
      </c>
      <c r="H240" s="50" t="s">
        <v>517</v>
      </c>
      <c r="I240" s="42">
        <v>239186.44067796611</v>
      </c>
      <c r="J240" s="25">
        <v>282240</v>
      </c>
      <c r="K240" s="37"/>
      <c r="L240" s="37"/>
      <c r="M240" s="25">
        <f t="shared" si="15"/>
        <v>239186.44067796611</v>
      </c>
      <c r="N240" s="25">
        <v>282240</v>
      </c>
      <c r="O240" s="36"/>
      <c r="P240" s="42">
        <f t="shared" si="11"/>
        <v>239186.44067796611</v>
      </c>
      <c r="Q240" s="42">
        <f t="shared" si="12"/>
        <v>282240</v>
      </c>
    </row>
    <row r="241" spans="1:17" s="1" customFormat="1" ht="51" customHeight="1" x14ac:dyDescent="0.25">
      <c r="A241" s="17"/>
      <c r="B241" s="11" t="s">
        <v>1991</v>
      </c>
      <c r="C241" s="37" t="s">
        <v>728</v>
      </c>
      <c r="D241" s="38" t="s">
        <v>727</v>
      </c>
      <c r="E241" s="38"/>
      <c r="F241" s="72"/>
      <c r="G241" s="85" t="s">
        <v>518</v>
      </c>
      <c r="H241" s="106" t="s">
        <v>165</v>
      </c>
      <c r="I241" s="87">
        <v>236635.59322033898</v>
      </c>
      <c r="J241" s="98">
        <v>279230</v>
      </c>
      <c r="K241" s="37"/>
      <c r="L241" s="37"/>
      <c r="M241" s="25">
        <f t="shared" si="15"/>
        <v>236635.59322033898</v>
      </c>
      <c r="N241" s="25">
        <v>279230</v>
      </c>
      <c r="O241" s="36"/>
      <c r="P241" s="42">
        <f t="shared" si="11"/>
        <v>236635.59322033898</v>
      </c>
      <c r="Q241" s="42">
        <f t="shared" si="12"/>
        <v>279230</v>
      </c>
    </row>
    <row r="242" spans="1:17" s="1" customFormat="1" ht="49.5" customHeight="1" x14ac:dyDescent="0.25">
      <c r="A242" s="17"/>
      <c r="B242" s="11" t="s">
        <v>1992</v>
      </c>
      <c r="C242" s="37" t="s">
        <v>730</v>
      </c>
      <c r="D242" s="38" t="s">
        <v>729</v>
      </c>
      <c r="E242" s="38"/>
      <c r="F242" s="72"/>
      <c r="G242" s="34" t="s">
        <v>519</v>
      </c>
      <c r="H242" s="37" t="s">
        <v>364</v>
      </c>
      <c r="I242" s="42">
        <v>640584.74576271186</v>
      </c>
      <c r="J242" s="25">
        <v>755890</v>
      </c>
      <c r="K242" s="37"/>
      <c r="L242" s="37"/>
      <c r="M242" s="25">
        <f t="shared" si="15"/>
        <v>640584.74576271186</v>
      </c>
      <c r="N242" s="25">
        <v>755890</v>
      </c>
      <c r="O242" s="36"/>
      <c r="P242" s="42">
        <f t="shared" si="11"/>
        <v>640584.74576271186</v>
      </c>
      <c r="Q242" s="42">
        <f t="shared" si="12"/>
        <v>755890</v>
      </c>
    </row>
    <row r="243" spans="1:17" s="1" customFormat="1" ht="45.75" customHeight="1" x14ac:dyDescent="0.25">
      <c r="A243" s="17"/>
      <c r="B243" s="11" t="s">
        <v>1993</v>
      </c>
      <c r="C243" s="37" t="s">
        <v>732</v>
      </c>
      <c r="D243" s="38" t="s">
        <v>731</v>
      </c>
      <c r="E243" s="38"/>
      <c r="F243" s="72"/>
      <c r="G243" s="85" t="s">
        <v>520</v>
      </c>
      <c r="H243" s="86" t="s">
        <v>165</v>
      </c>
      <c r="I243" s="87">
        <v>518335.08474576275</v>
      </c>
      <c r="J243" s="98">
        <v>611635.4</v>
      </c>
      <c r="K243" s="37"/>
      <c r="L243" s="37"/>
      <c r="M243" s="25">
        <f t="shared" si="15"/>
        <v>518335.08474576275</v>
      </c>
      <c r="N243" s="25">
        <v>611635.4</v>
      </c>
      <c r="O243" s="36"/>
      <c r="P243" s="42">
        <f t="shared" si="11"/>
        <v>518335.08474576275</v>
      </c>
      <c r="Q243" s="42">
        <f t="shared" si="12"/>
        <v>611635.4</v>
      </c>
    </row>
    <row r="244" spans="1:17" s="1" customFormat="1" ht="52.5" customHeight="1" x14ac:dyDescent="0.25">
      <c r="A244" s="17"/>
      <c r="B244" s="11" t="s">
        <v>1994</v>
      </c>
      <c r="C244" s="37" t="s">
        <v>733</v>
      </c>
      <c r="D244" s="38" t="s">
        <v>713</v>
      </c>
      <c r="E244" s="38"/>
      <c r="F244" s="72"/>
      <c r="G244" s="85" t="s">
        <v>521</v>
      </c>
      <c r="H244" s="86" t="s">
        <v>165</v>
      </c>
      <c r="I244" s="87">
        <v>161016.94915254239</v>
      </c>
      <c r="J244" s="98">
        <v>190000</v>
      </c>
      <c r="K244" s="37"/>
      <c r="L244" s="37"/>
      <c r="M244" s="25">
        <f t="shared" si="15"/>
        <v>161016.94915254239</v>
      </c>
      <c r="N244" s="25">
        <v>190000</v>
      </c>
      <c r="O244" s="36"/>
      <c r="P244" s="42">
        <f t="shared" si="11"/>
        <v>161016.94915254239</v>
      </c>
      <c r="Q244" s="42">
        <f t="shared" si="12"/>
        <v>190000</v>
      </c>
    </row>
    <row r="245" spans="1:17" ht="66" customHeight="1" x14ac:dyDescent="0.25">
      <c r="A245" s="9">
        <v>4</v>
      </c>
      <c r="B245" s="10" t="s">
        <v>19</v>
      </c>
      <c r="C245" s="37"/>
      <c r="D245" s="38"/>
      <c r="E245" s="38"/>
      <c r="F245" s="72"/>
      <c r="G245" s="34"/>
      <c r="H245" s="37"/>
      <c r="I245" s="37"/>
      <c r="J245" s="37"/>
      <c r="K245" s="37"/>
      <c r="L245" s="37"/>
      <c r="M245" s="36"/>
      <c r="N245" s="36"/>
      <c r="O245" s="36"/>
      <c r="P245" s="42">
        <f t="shared" si="11"/>
        <v>0</v>
      </c>
      <c r="Q245" s="42">
        <f t="shared" si="12"/>
        <v>0</v>
      </c>
    </row>
    <row r="246" spans="1:17" ht="18" customHeight="1" x14ac:dyDescent="0.25">
      <c r="A246" s="9"/>
      <c r="B246" s="410" t="s">
        <v>81</v>
      </c>
      <c r="C246" s="37"/>
      <c r="D246" s="38"/>
      <c r="E246" s="38"/>
      <c r="F246" s="72"/>
      <c r="G246" s="40">
        <v>3875</v>
      </c>
      <c r="H246" s="41">
        <v>41044</v>
      </c>
      <c r="I246" s="42">
        <v>49736.440677966108</v>
      </c>
      <c r="J246" s="25">
        <v>58689</v>
      </c>
      <c r="K246" s="37"/>
      <c r="L246" s="37"/>
      <c r="M246" s="25">
        <f>N246/1.18</f>
        <v>49736.440677966108</v>
      </c>
      <c r="N246" s="25">
        <v>58689</v>
      </c>
      <c r="O246" s="36"/>
      <c r="P246" s="42">
        <f t="shared" si="11"/>
        <v>49736.440677966108</v>
      </c>
      <c r="Q246" s="42">
        <f t="shared" si="12"/>
        <v>58689</v>
      </c>
    </row>
    <row r="247" spans="1:17" ht="18" customHeight="1" x14ac:dyDescent="0.25">
      <c r="A247" s="9"/>
      <c r="B247" s="411"/>
      <c r="C247" s="37"/>
      <c r="D247" s="38"/>
      <c r="E247" s="38"/>
      <c r="F247" s="72"/>
      <c r="G247" s="40">
        <v>4576</v>
      </c>
      <c r="H247" s="41">
        <v>41067</v>
      </c>
      <c r="I247" s="42">
        <v>49736.440677966108</v>
      </c>
      <c r="J247" s="25">
        <v>58689</v>
      </c>
      <c r="K247" s="37"/>
      <c r="L247" s="37"/>
      <c r="M247" s="25">
        <f t="shared" ref="M247:M253" si="16">N247/1.18</f>
        <v>49736.440677966108</v>
      </c>
      <c r="N247" s="25">
        <v>58689</v>
      </c>
      <c r="O247" s="36"/>
      <c r="P247" s="42">
        <f t="shared" si="11"/>
        <v>49736.440677966108</v>
      </c>
      <c r="Q247" s="42">
        <f t="shared" si="12"/>
        <v>58689</v>
      </c>
    </row>
    <row r="248" spans="1:17" ht="18" customHeight="1" x14ac:dyDescent="0.25">
      <c r="A248" s="9"/>
      <c r="B248" s="411"/>
      <c r="C248" s="37"/>
      <c r="D248" s="38"/>
      <c r="E248" s="38"/>
      <c r="F248" s="72"/>
      <c r="G248" s="40">
        <v>3876</v>
      </c>
      <c r="H248" s="41">
        <v>41044</v>
      </c>
      <c r="I248" s="42">
        <v>271724.57627118647</v>
      </c>
      <c r="J248" s="25">
        <v>395737</v>
      </c>
      <c r="K248" s="37"/>
      <c r="L248" s="37"/>
      <c r="M248" s="25">
        <f t="shared" si="16"/>
        <v>271724.57627118647</v>
      </c>
      <c r="N248" s="25">
        <v>320635</v>
      </c>
      <c r="O248" s="36"/>
      <c r="P248" s="42">
        <f t="shared" si="11"/>
        <v>271724.57627118647</v>
      </c>
      <c r="Q248" s="42">
        <f t="shared" si="12"/>
        <v>320635</v>
      </c>
    </row>
    <row r="249" spans="1:17" ht="18" customHeight="1" x14ac:dyDescent="0.25">
      <c r="A249" s="9"/>
      <c r="B249" s="411"/>
      <c r="C249" s="37"/>
      <c r="D249" s="38"/>
      <c r="E249" s="38"/>
      <c r="F249" s="72"/>
      <c r="G249" s="40">
        <v>6070</v>
      </c>
      <c r="H249" s="41">
        <v>41122</v>
      </c>
      <c r="I249" s="42">
        <v>123505.93220338984</v>
      </c>
      <c r="J249" s="25">
        <v>145737</v>
      </c>
      <c r="K249" s="37"/>
      <c r="L249" s="37"/>
      <c r="M249" s="25">
        <f t="shared" si="16"/>
        <v>123505.93220338984</v>
      </c>
      <c r="N249" s="25">
        <v>145737</v>
      </c>
      <c r="O249" s="36"/>
      <c r="P249" s="42">
        <f t="shared" ref="P249:P318" si="17">M249</f>
        <v>123505.93220338984</v>
      </c>
      <c r="Q249" s="42">
        <f t="shared" ref="Q249:Q318" si="18">N249</f>
        <v>145737</v>
      </c>
    </row>
    <row r="250" spans="1:17" ht="18" customHeight="1" x14ac:dyDescent="0.25">
      <c r="A250" s="9"/>
      <c r="B250" s="411"/>
      <c r="C250" s="37"/>
      <c r="D250" s="38"/>
      <c r="E250" s="38"/>
      <c r="F250" s="72"/>
      <c r="G250" s="40">
        <v>6161</v>
      </c>
      <c r="H250" s="41">
        <v>41127</v>
      </c>
      <c r="I250" s="42">
        <v>42372.881355932208</v>
      </c>
      <c r="J250" s="25">
        <v>50000</v>
      </c>
      <c r="K250" s="37"/>
      <c r="L250" s="37"/>
      <c r="M250" s="25">
        <f t="shared" si="16"/>
        <v>42372.881355932208</v>
      </c>
      <c r="N250" s="25">
        <v>50000</v>
      </c>
      <c r="O250" s="36"/>
      <c r="P250" s="42">
        <f t="shared" si="17"/>
        <v>42372.881355932208</v>
      </c>
      <c r="Q250" s="42">
        <f t="shared" si="18"/>
        <v>50000</v>
      </c>
    </row>
    <row r="251" spans="1:17" ht="18" customHeight="1" x14ac:dyDescent="0.25">
      <c r="A251" s="9"/>
      <c r="B251" s="411"/>
      <c r="C251" s="37"/>
      <c r="D251" s="38"/>
      <c r="E251" s="38"/>
      <c r="F251" s="72"/>
      <c r="G251" s="40">
        <v>6190</v>
      </c>
      <c r="H251" s="41">
        <v>41128</v>
      </c>
      <c r="I251" s="42">
        <v>84745.762711864416</v>
      </c>
      <c r="J251" s="25">
        <v>100000</v>
      </c>
      <c r="K251" s="37"/>
      <c r="L251" s="37"/>
      <c r="M251" s="25">
        <f t="shared" si="16"/>
        <v>84745.762711864416</v>
      </c>
      <c r="N251" s="25">
        <v>100000</v>
      </c>
      <c r="O251" s="36"/>
      <c r="P251" s="42">
        <f t="shared" si="17"/>
        <v>84745.762711864416</v>
      </c>
      <c r="Q251" s="42">
        <f t="shared" si="18"/>
        <v>100000</v>
      </c>
    </row>
    <row r="252" spans="1:17" ht="18" customHeight="1" x14ac:dyDescent="0.25">
      <c r="A252" s="9"/>
      <c r="B252" s="411"/>
      <c r="C252" s="37"/>
      <c r="D252" s="38"/>
      <c r="E252" s="38"/>
      <c r="F252" s="72"/>
      <c r="G252" s="40">
        <v>6530</v>
      </c>
      <c r="H252" s="41">
        <v>41141</v>
      </c>
      <c r="I252" s="42">
        <v>84745.762711864416</v>
      </c>
      <c r="J252" s="25">
        <v>100000</v>
      </c>
      <c r="K252" s="37"/>
      <c r="L252" s="37"/>
      <c r="M252" s="25">
        <f t="shared" si="16"/>
        <v>84745.762711864416</v>
      </c>
      <c r="N252" s="25">
        <v>100000</v>
      </c>
      <c r="O252" s="36"/>
      <c r="P252" s="42">
        <f t="shared" si="17"/>
        <v>84745.762711864416</v>
      </c>
      <c r="Q252" s="42">
        <f t="shared" si="18"/>
        <v>100000</v>
      </c>
    </row>
    <row r="253" spans="1:17" ht="18" customHeight="1" x14ac:dyDescent="0.25">
      <c r="A253" s="9"/>
      <c r="B253" s="411"/>
      <c r="C253" s="37"/>
      <c r="D253" s="38"/>
      <c r="E253" s="38"/>
      <c r="F253" s="72"/>
      <c r="G253" s="40">
        <v>802</v>
      </c>
      <c r="H253" s="41">
        <v>41316</v>
      </c>
      <c r="I253" s="42">
        <v>66059.322033898308</v>
      </c>
      <c r="J253" s="25">
        <v>77950</v>
      </c>
      <c r="K253" s="37"/>
      <c r="L253" s="37"/>
      <c r="M253" s="25">
        <f t="shared" si="16"/>
        <v>66059.322033898308</v>
      </c>
      <c r="N253" s="25">
        <v>77950</v>
      </c>
      <c r="O253" s="36"/>
      <c r="P253" s="42">
        <f t="shared" si="17"/>
        <v>66059.322033898308</v>
      </c>
      <c r="Q253" s="42">
        <f t="shared" si="18"/>
        <v>77950</v>
      </c>
    </row>
    <row r="254" spans="1:17" ht="18" customHeight="1" x14ac:dyDescent="0.25">
      <c r="A254" s="9"/>
      <c r="B254" s="30" t="s">
        <v>82</v>
      </c>
      <c r="C254" s="37"/>
      <c r="D254" s="38"/>
      <c r="E254" s="38"/>
      <c r="F254" s="72"/>
      <c r="G254" s="40">
        <v>6850</v>
      </c>
      <c r="H254" s="41">
        <v>41152</v>
      </c>
      <c r="I254" s="42">
        <v>61938.983050847462</v>
      </c>
      <c r="J254" s="25">
        <v>550018.93999999994</v>
      </c>
      <c r="K254" s="37"/>
      <c r="L254" s="37"/>
      <c r="M254" s="25">
        <f>N254/1.18</f>
        <v>61938.983050847462</v>
      </c>
      <c r="N254" s="25">
        <v>73088</v>
      </c>
      <c r="O254" s="36"/>
      <c r="P254" s="42">
        <f t="shared" si="17"/>
        <v>61938.983050847462</v>
      </c>
      <c r="Q254" s="42">
        <f t="shared" si="18"/>
        <v>73088</v>
      </c>
    </row>
    <row r="255" spans="1:17" ht="18" customHeight="1" x14ac:dyDescent="0.25">
      <c r="A255" s="9"/>
      <c r="B255" s="415" t="s">
        <v>83</v>
      </c>
      <c r="C255" s="37"/>
      <c r="D255" s="38"/>
      <c r="E255" s="38"/>
      <c r="F255" s="72"/>
      <c r="G255" s="40">
        <v>2643</v>
      </c>
      <c r="H255" s="41">
        <v>41001</v>
      </c>
      <c r="I255" s="42">
        <v>447143.5</v>
      </c>
      <c r="J255" s="25">
        <v>527629.32999999996</v>
      </c>
      <c r="K255" s="37"/>
      <c r="L255" s="37"/>
      <c r="M255" s="25">
        <f>N255/1.18</f>
        <v>447143.5</v>
      </c>
      <c r="N255" s="25">
        <v>527629.32999999996</v>
      </c>
      <c r="O255" s="36"/>
      <c r="P255" s="42">
        <f t="shared" si="17"/>
        <v>447143.5</v>
      </c>
      <c r="Q255" s="42">
        <f t="shared" si="18"/>
        <v>527629.32999999996</v>
      </c>
    </row>
    <row r="256" spans="1:17" ht="18" customHeight="1" x14ac:dyDescent="0.25">
      <c r="A256" s="9"/>
      <c r="B256" s="415"/>
      <c r="C256" s="37"/>
      <c r="D256" s="38"/>
      <c r="E256" s="38"/>
      <c r="F256" s="72"/>
      <c r="G256" s="40">
        <v>4478</v>
      </c>
      <c r="H256" s="41">
        <v>41066</v>
      </c>
      <c r="I256" s="42">
        <v>664812.30508474587</v>
      </c>
      <c r="J256" s="25">
        <v>784478.52</v>
      </c>
      <c r="K256" s="37"/>
      <c r="L256" s="37"/>
      <c r="M256" s="25">
        <f t="shared" ref="M256:M259" si="19">N256/1.18</f>
        <v>664812.30508474587</v>
      </c>
      <c r="N256" s="25">
        <v>784478.52</v>
      </c>
      <c r="O256" s="36"/>
      <c r="P256" s="42">
        <f t="shared" si="17"/>
        <v>664812.30508474587</v>
      </c>
      <c r="Q256" s="42">
        <f t="shared" si="18"/>
        <v>784478.52</v>
      </c>
    </row>
    <row r="257" spans="1:17" ht="18" customHeight="1" x14ac:dyDescent="0.25">
      <c r="A257" s="9"/>
      <c r="B257" s="415"/>
      <c r="C257" s="37"/>
      <c r="D257" s="38"/>
      <c r="E257" s="38"/>
      <c r="F257" s="72"/>
      <c r="G257" s="40">
        <v>6657</v>
      </c>
      <c r="H257" s="41">
        <v>41144</v>
      </c>
      <c r="I257" s="42">
        <v>134305.7627118644</v>
      </c>
      <c r="J257" s="25">
        <v>158480.79999999999</v>
      </c>
      <c r="K257" s="37"/>
      <c r="L257" s="37"/>
      <c r="M257" s="25">
        <f t="shared" si="19"/>
        <v>134305.7627118644</v>
      </c>
      <c r="N257" s="25">
        <v>158480.79999999999</v>
      </c>
      <c r="O257" s="36"/>
      <c r="P257" s="42">
        <f t="shared" si="17"/>
        <v>134305.7627118644</v>
      </c>
      <c r="Q257" s="42">
        <f t="shared" si="18"/>
        <v>158480.79999999999</v>
      </c>
    </row>
    <row r="258" spans="1:17" ht="18" customHeight="1" x14ac:dyDescent="0.25">
      <c r="A258" s="9"/>
      <c r="B258" s="415"/>
      <c r="C258" s="37"/>
      <c r="D258" s="38"/>
      <c r="E258" s="38"/>
      <c r="F258" s="72"/>
      <c r="G258" s="40">
        <v>6803</v>
      </c>
      <c r="H258" s="41">
        <v>41151</v>
      </c>
      <c r="I258" s="42">
        <v>102418.4745762712</v>
      </c>
      <c r="J258" s="25">
        <v>120853.8</v>
      </c>
      <c r="K258" s="37"/>
      <c r="L258" s="37"/>
      <c r="M258" s="25">
        <f t="shared" si="19"/>
        <v>102418.4745762712</v>
      </c>
      <c r="N258" s="25">
        <v>120853.8</v>
      </c>
      <c r="O258" s="36"/>
      <c r="P258" s="42">
        <f t="shared" si="17"/>
        <v>102418.4745762712</v>
      </c>
      <c r="Q258" s="42">
        <f t="shared" si="18"/>
        <v>120853.8</v>
      </c>
    </row>
    <row r="259" spans="1:17" ht="18" customHeight="1" x14ac:dyDescent="0.25">
      <c r="A259" s="9"/>
      <c r="B259" s="415"/>
      <c r="C259" s="37"/>
      <c r="D259" s="38"/>
      <c r="E259" s="38"/>
      <c r="F259" s="72"/>
      <c r="G259" s="40">
        <v>7517</v>
      </c>
      <c r="H259" s="41">
        <v>41177</v>
      </c>
      <c r="I259" s="42">
        <v>2349463.9322033897</v>
      </c>
      <c r="J259" s="25">
        <v>2772367.44</v>
      </c>
      <c r="K259" s="37"/>
      <c r="L259" s="37"/>
      <c r="M259" s="25">
        <f t="shared" si="19"/>
        <v>2349463.9322033897</v>
      </c>
      <c r="N259" s="25">
        <v>2772367.44</v>
      </c>
      <c r="O259" s="36"/>
      <c r="P259" s="42">
        <f t="shared" si="17"/>
        <v>2349463.9322033897</v>
      </c>
      <c r="Q259" s="42">
        <f t="shared" si="18"/>
        <v>2772367.44</v>
      </c>
    </row>
    <row r="260" spans="1:17" ht="18" customHeight="1" x14ac:dyDescent="0.25">
      <c r="A260" s="9"/>
      <c r="B260" s="419" t="s">
        <v>84</v>
      </c>
      <c r="C260" s="37"/>
      <c r="D260" s="38"/>
      <c r="E260" s="38"/>
      <c r="F260" s="72"/>
      <c r="G260" s="40">
        <v>9890</v>
      </c>
      <c r="H260" s="41">
        <v>41628</v>
      </c>
      <c r="I260" s="42">
        <v>1101694.9152542374</v>
      </c>
      <c r="J260" s="25">
        <v>1300000</v>
      </c>
      <c r="K260" s="37"/>
      <c r="L260" s="37"/>
      <c r="M260" s="25">
        <f>N260/1.18</f>
        <v>1101694.9152542374</v>
      </c>
      <c r="N260" s="25">
        <v>1300000</v>
      </c>
      <c r="O260" s="36"/>
      <c r="P260" s="42">
        <f t="shared" si="17"/>
        <v>1101694.9152542374</v>
      </c>
      <c r="Q260" s="42">
        <f t="shared" si="18"/>
        <v>1300000</v>
      </c>
    </row>
    <row r="261" spans="1:17" ht="18" customHeight="1" x14ac:dyDescent="0.25">
      <c r="A261" s="9"/>
      <c r="B261" s="419"/>
      <c r="C261" s="37"/>
      <c r="D261" s="38"/>
      <c r="E261" s="38"/>
      <c r="F261" s="72"/>
      <c r="G261" s="40">
        <v>9671</v>
      </c>
      <c r="H261" s="41">
        <v>41624</v>
      </c>
      <c r="I261" s="42">
        <v>866949.15254237293</v>
      </c>
      <c r="J261" s="25">
        <v>1023000</v>
      </c>
      <c r="K261" s="37"/>
      <c r="L261" s="37"/>
      <c r="M261" s="25">
        <f t="shared" ref="M261:M262" si="20">N261/1.18</f>
        <v>866949.15254237293</v>
      </c>
      <c r="N261" s="25">
        <v>1023000</v>
      </c>
      <c r="O261" s="36"/>
      <c r="P261" s="42">
        <f t="shared" si="17"/>
        <v>866949.15254237293</v>
      </c>
      <c r="Q261" s="42">
        <f t="shared" si="18"/>
        <v>1023000</v>
      </c>
    </row>
    <row r="262" spans="1:17" ht="18" customHeight="1" x14ac:dyDescent="0.25">
      <c r="A262" s="9"/>
      <c r="B262" s="419"/>
      <c r="C262" s="37"/>
      <c r="D262" s="38"/>
      <c r="E262" s="38"/>
      <c r="F262" s="72"/>
      <c r="G262" s="40">
        <v>67</v>
      </c>
      <c r="H262" s="41">
        <v>41653</v>
      </c>
      <c r="I262" s="42">
        <v>1525423.7288135595</v>
      </c>
      <c r="J262" s="25">
        <v>1800000</v>
      </c>
      <c r="K262" s="37"/>
      <c r="L262" s="37"/>
      <c r="M262" s="25">
        <f t="shared" si="20"/>
        <v>1525423.7288135595</v>
      </c>
      <c r="N262" s="25">
        <v>1800000</v>
      </c>
      <c r="O262" s="36"/>
      <c r="P262" s="42">
        <f t="shared" si="17"/>
        <v>1525423.7288135595</v>
      </c>
      <c r="Q262" s="42">
        <f t="shared" si="18"/>
        <v>1800000</v>
      </c>
    </row>
    <row r="263" spans="1:17" ht="18" customHeight="1" x14ac:dyDescent="0.25">
      <c r="A263" s="9"/>
      <c r="B263" s="420" t="s">
        <v>85</v>
      </c>
      <c r="C263" s="37"/>
      <c r="D263" s="38"/>
      <c r="E263" s="38"/>
      <c r="F263" s="72"/>
      <c r="G263" s="40">
        <v>1963</v>
      </c>
      <c r="H263" s="41">
        <v>41716</v>
      </c>
      <c r="I263" s="42">
        <v>2055249.6355932204</v>
      </c>
      <c r="J263" s="25">
        <v>2425194.5699999998</v>
      </c>
      <c r="K263" s="37"/>
      <c r="L263" s="37"/>
      <c r="M263" s="25">
        <f>N263/1.18</f>
        <v>2055249.6355932204</v>
      </c>
      <c r="N263" s="25">
        <v>2425194.5699999998</v>
      </c>
      <c r="O263" s="36"/>
      <c r="P263" s="42">
        <f t="shared" si="17"/>
        <v>2055249.6355932204</v>
      </c>
      <c r="Q263" s="42">
        <f t="shared" si="18"/>
        <v>2425194.5699999998</v>
      </c>
    </row>
    <row r="264" spans="1:17" ht="18" customHeight="1" x14ac:dyDescent="0.25">
      <c r="A264" s="9"/>
      <c r="B264" s="420"/>
      <c r="C264" s="37"/>
      <c r="D264" s="38"/>
      <c r="E264" s="38"/>
      <c r="F264" s="72"/>
      <c r="G264" s="40">
        <v>2258</v>
      </c>
      <c r="H264" s="41">
        <v>41724</v>
      </c>
      <c r="I264" s="42">
        <v>2005224.1186440678</v>
      </c>
      <c r="J264" s="25">
        <v>2366164.46</v>
      </c>
      <c r="K264" s="37"/>
      <c r="L264" s="37"/>
      <c r="M264" s="25">
        <f t="shared" ref="M264:M266" si="21">N264/1.18</f>
        <v>2005224.1186440678</v>
      </c>
      <c r="N264" s="25">
        <v>2366164.46</v>
      </c>
      <c r="O264" s="36"/>
      <c r="P264" s="42">
        <f t="shared" si="17"/>
        <v>2005224.1186440678</v>
      </c>
      <c r="Q264" s="42">
        <f t="shared" si="18"/>
        <v>2366164.46</v>
      </c>
    </row>
    <row r="265" spans="1:17" ht="18" customHeight="1" x14ac:dyDescent="0.25">
      <c r="A265" s="9"/>
      <c r="B265" s="420"/>
      <c r="C265" s="37"/>
      <c r="D265" s="38"/>
      <c r="E265" s="38"/>
      <c r="F265" s="72"/>
      <c r="G265" s="40">
        <v>8541</v>
      </c>
      <c r="H265" s="41">
        <v>41586</v>
      </c>
      <c r="I265" s="42">
        <v>386546.59322033898</v>
      </c>
      <c r="J265" s="25">
        <v>456124.98</v>
      </c>
      <c r="K265" s="37"/>
      <c r="L265" s="37"/>
      <c r="M265" s="25">
        <f t="shared" si="21"/>
        <v>386546.59322033898</v>
      </c>
      <c r="N265" s="25">
        <v>456124.98</v>
      </c>
      <c r="O265" s="36"/>
      <c r="P265" s="42">
        <f t="shared" si="17"/>
        <v>386546.59322033898</v>
      </c>
      <c r="Q265" s="42">
        <f t="shared" si="18"/>
        <v>456124.98</v>
      </c>
    </row>
    <row r="266" spans="1:17" ht="18" customHeight="1" x14ac:dyDescent="0.25">
      <c r="A266" s="9"/>
      <c r="B266" s="420"/>
      <c r="C266" s="37"/>
      <c r="D266" s="38"/>
      <c r="E266" s="38"/>
      <c r="F266" s="72"/>
      <c r="G266" s="40">
        <v>9595</v>
      </c>
      <c r="H266" s="41">
        <v>41621</v>
      </c>
      <c r="I266" s="42">
        <v>597920.90677966108</v>
      </c>
      <c r="J266" s="25">
        <v>705546.67</v>
      </c>
      <c r="K266" s="37"/>
      <c r="L266" s="37"/>
      <c r="M266" s="25">
        <f t="shared" si="21"/>
        <v>597920.90677966108</v>
      </c>
      <c r="N266" s="25">
        <v>705546.67</v>
      </c>
      <c r="O266" s="36"/>
      <c r="P266" s="42">
        <f t="shared" si="17"/>
        <v>597920.90677966108</v>
      </c>
      <c r="Q266" s="42">
        <f t="shared" si="18"/>
        <v>705546.67</v>
      </c>
    </row>
    <row r="267" spans="1:17" ht="18" customHeight="1" x14ac:dyDescent="0.25">
      <c r="A267" s="9"/>
      <c r="B267" s="421" t="s">
        <v>86</v>
      </c>
      <c r="C267" s="37"/>
      <c r="D267" s="38"/>
      <c r="E267" s="38"/>
      <c r="F267" s="72"/>
      <c r="G267" s="40">
        <v>8972</v>
      </c>
      <c r="H267" s="41">
        <v>41599</v>
      </c>
      <c r="I267" s="42">
        <v>1507529.41</v>
      </c>
      <c r="J267" s="25">
        <v>1507529.41</v>
      </c>
      <c r="K267" s="37"/>
      <c r="L267" s="37"/>
      <c r="M267" s="25">
        <v>1507529.41</v>
      </c>
      <c r="N267" s="25">
        <v>1507529.41</v>
      </c>
      <c r="O267" s="36"/>
      <c r="P267" s="42">
        <f t="shared" si="17"/>
        <v>1507529.41</v>
      </c>
      <c r="Q267" s="42">
        <f t="shared" si="18"/>
        <v>1507529.41</v>
      </c>
    </row>
    <row r="268" spans="1:17" ht="18" customHeight="1" x14ac:dyDescent="0.25">
      <c r="A268" s="9"/>
      <c r="B268" s="421"/>
      <c r="C268" s="37"/>
      <c r="D268" s="38"/>
      <c r="E268" s="38"/>
      <c r="F268" s="72"/>
      <c r="G268" s="40">
        <v>1205</v>
      </c>
      <c r="H268" s="41">
        <v>41688</v>
      </c>
      <c r="I268" s="42">
        <v>5950401.6600000001</v>
      </c>
      <c r="J268" s="25">
        <v>2332895.66</v>
      </c>
      <c r="K268" s="37"/>
      <c r="L268" s="37"/>
      <c r="M268" s="25">
        <f>N268</f>
        <v>5950401.6600000001</v>
      </c>
      <c r="N268" s="25">
        <v>5950401.6600000001</v>
      </c>
      <c r="O268" s="36"/>
      <c r="P268" s="42">
        <f t="shared" si="17"/>
        <v>5950401.6600000001</v>
      </c>
      <c r="Q268" s="42">
        <f t="shared" si="18"/>
        <v>5950401.6600000001</v>
      </c>
    </row>
    <row r="269" spans="1:17" ht="34.5" customHeight="1" x14ac:dyDescent="0.25">
      <c r="A269" s="9"/>
      <c r="B269" s="31" t="s">
        <v>87</v>
      </c>
      <c r="C269" s="37"/>
      <c r="D269" s="38"/>
      <c r="E269" s="38"/>
      <c r="F269" s="72"/>
      <c r="G269" s="40">
        <v>307</v>
      </c>
      <c r="H269" s="41">
        <v>40809</v>
      </c>
      <c r="I269" s="42"/>
      <c r="J269" s="25">
        <v>1940186.54</v>
      </c>
      <c r="K269" s="37"/>
      <c r="L269" s="37"/>
      <c r="M269" s="25"/>
      <c r="N269" s="25">
        <v>1940186.54</v>
      </c>
      <c r="O269" s="36"/>
      <c r="P269" s="42">
        <f t="shared" si="17"/>
        <v>0</v>
      </c>
      <c r="Q269" s="42">
        <f t="shared" si="18"/>
        <v>1940186.54</v>
      </c>
    </row>
    <row r="270" spans="1:17" ht="18" customHeight="1" x14ac:dyDescent="0.25">
      <c r="A270" s="9"/>
      <c r="B270" s="421" t="s">
        <v>88</v>
      </c>
      <c r="C270" s="37"/>
      <c r="D270" s="38"/>
      <c r="E270" s="38"/>
      <c r="F270" s="72"/>
      <c r="G270" s="40">
        <v>3160</v>
      </c>
      <c r="H270" s="41">
        <v>41015</v>
      </c>
      <c r="I270" s="42">
        <v>550295.0677966103</v>
      </c>
      <c r="J270" s="25">
        <v>649348.18000000005</v>
      </c>
      <c r="K270" s="37"/>
      <c r="L270" s="37"/>
      <c r="M270" s="25">
        <f>N270/1.18</f>
        <v>550295.0677966103</v>
      </c>
      <c r="N270" s="25">
        <v>649348.18000000005</v>
      </c>
      <c r="O270" s="36"/>
      <c r="P270" s="42">
        <f t="shared" si="17"/>
        <v>550295.0677966103</v>
      </c>
      <c r="Q270" s="42">
        <f t="shared" si="18"/>
        <v>649348.18000000005</v>
      </c>
    </row>
    <row r="271" spans="1:17" ht="18" customHeight="1" x14ac:dyDescent="0.25">
      <c r="A271" s="9"/>
      <c r="B271" s="421"/>
      <c r="C271" s="37"/>
      <c r="D271" s="38"/>
      <c r="E271" s="38"/>
      <c r="F271" s="72"/>
      <c r="G271" s="40">
        <v>1219</v>
      </c>
      <c r="H271" s="41">
        <v>40953</v>
      </c>
      <c r="I271" s="42">
        <v>240642.82203389835</v>
      </c>
      <c r="J271" s="25">
        <v>283958.53000000003</v>
      </c>
      <c r="K271" s="37"/>
      <c r="L271" s="37"/>
      <c r="M271" s="25">
        <f>N271/1.18</f>
        <v>240642.82203389835</v>
      </c>
      <c r="N271" s="25">
        <v>283958.53000000003</v>
      </c>
      <c r="O271" s="36"/>
      <c r="P271" s="42">
        <f t="shared" si="17"/>
        <v>240642.82203389835</v>
      </c>
      <c r="Q271" s="42">
        <f t="shared" si="18"/>
        <v>283958.53000000003</v>
      </c>
    </row>
    <row r="272" spans="1:17" ht="18" customHeight="1" x14ac:dyDescent="0.25">
      <c r="A272" s="9"/>
      <c r="B272" s="421" t="s">
        <v>89</v>
      </c>
      <c r="C272" s="37"/>
      <c r="D272" s="38"/>
      <c r="E272" s="38"/>
      <c r="F272" s="72"/>
      <c r="G272" s="40">
        <v>443</v>
      </c>
      <c r="H272" s="41">
        <v>40900</v>
      </c>
      <c r="I272" s="42">
        <v>3914558.3050847459</v>
      </c>
      <c r="J272" s="25">
        <v>4619178.8</v>
      </c>
      <c r="K272" s="37"/>
      <c r="L272" s="37"/>
      <c r="M272" s="25">
        <f t="shared" ref="M272:M275" si="22">N272/1.18</f>
        <v>3914558.3050847459</v>
      </c>
      <c r="N272" s="25">
        <v>4619178.8</v>
      </c>
      <c r="O272" s="36"/>
      <c r="P272" s="42">
        <f t="shared" si="17"/>
        <v>3914558.3050847459</v>
      </c>
      <c r="Q272" s="42">
        <f t="shared" si="18"/>
        <v>4619178.8</v>
      </c>
    </row>
    <row r="273" spans="1:18" ht="18" customHeight="1" x14ac:dyDescent="0.25">
      <c r="A273" s="9"/>
      <c r="B273" s="421"/>
      <c r="C273" s="37"/>
      <c r="D273" s="38"/>
      <c r="E273" s="38"/>
      <c r="F273" s="72"/>
      <c r="G273" s="56" t="s">
        <v>90</v>
      </c>
      <c r="H273" s="41">
        <v>41173</v>
      </c>
      <c r="I273" s="42">
        <v>2998353.3898305087</v>
      </c>
      <c r="J273" s="25">
        <v>3538057</v>
      </c>
      <c r="K273" s="37"/>
      <c r="L273" s="37"/>
      <c r="M273" s="25">
        <f t="shared" si="22"/>
        <v>2998353.3898305087</v>
      </c>
      <c r="N273" s="25">
        <v>3538057</v>
      </c>
      <c r="O273" s="36"/>
      <c r="P273" s="42">
        <f t="shared" si="17"/>
        <v>2998353.3898305087</v>
      </c>
      <c r="Q273" s="42">
        <f t="shared" si="18"/>
        <v>3538057</v>
      </c>
    </row>
    <row r="274" spans="1:18" ht="18" customHeight="1" x14ac:dyDescent="0.25">
      <c r="A274" s="9"/>
      <c r="B274" s="421"/>
      <c r="C274" s="37"/>
      <c r="D274" s="38"/>
      <c r="E274" s="38"/>
      <c r="F274" s="72"/>
      <c r="G274" s="40">
        <v>442</v>
      </c>
      <c r="H274" s="41">
        <v>40900</v>
      </c>
      <c r="I274" s="42">
        <v>3832457.6694915253</v>
      </c>
      <c r="J274" s="25">
        <v>4522300.05</v>
      </c>
      <c r="K274" s="37"/>
      <c r="L274" s="37"/>
      <c r="M274" s="25">
        <f t="shared" si="22"/>
        <v>3832457.6694915253</v>
      </c>
      <c r="N274" s="25">
        <v>4522300.05</v>
      </c>
      <c r="O274" s="36"/>
      <c r="P274" s="42">
        <f t="shared" si="17"/>
        <v>3832457.6694915253</v>
      </c>
      <c r="Q274" s="42">
        <f t="shared" si="18"/>
        <v>4522300.05</v>
      </c>
    </row>
    <row r="275" spans="1:18" ht="18" customHeight="1" x14ac:dyDescent="0.25">
      <c r="A275" s="9"/>
      <c r="B275" s="421"/>
      <c r="C275" s="37"/>
      <c r="D275" s="38"/>
      <c r="E275" s="38"/>
      <c r="F275" s="72"/>
      <c r="G275" s="56" t="s">
        <v>90</v>
      </c>
      <c r="H275" s="41">
        <v>40981</v>
      </c>
      <c r="I275" s="42">
        <v>10246167.169491526</v>
      </c>
      <c r="J275" s="25">
        <v>17048956.010000002</v>
      </c>
      <c r="K275" s="37"/>
      <c r="L275" s="37"/>
      <c r="M275" s="25">
        <f t="shared" si="22"/>
        <v>10246167.169491526</v>
      </c>
      <c r="N275" s="25">
        <v>12090477.26</v>
      </c>
      <c r="O275" s="36"/>
      <c r="P275" s="42">
        <f t="shared" si="17"/>
        <v>10246167.169491526</v>
      </c>
      <c r="Q275" s="42">
        <f t="shared" si="18"/>
        <v>12090477.26</v>
      </c>
      <c r="R275" s="3"/>
    </row>
    <row r="276" spans="1:18" ht="18" customHeight="1" x14ac:dyDescent="0.25">
      <c r="A276" s="9"/>
      <c r="B276" s="410" t="s">
        <v>91</v>
      </c>
      <c r="C276" s="37"/>
      <c r="D276" s="38"/>
      <c r="E276" s="38"/>
      <c r="F276" s="72"/>
      <c r="G276" s="40">
        <v>117</v>
      </c>
      <c r="H276" s="41">
        <v>40658</v>
      </c>
      <c r="I276" s="42">
        <v>838188</v>
      </c>
      <c r="J276" s="25">
        <v>838188</v>
      </c>
      <c r="K276" s="37"/>
      <c r="L276" s="37"/>
      <c r="M276" s="25">
        <v>838188</v>
      </c>
      <c r="N276" s="25">
        <v>838188</v>
      </c>
      <c r="O276" s="36"/>
      <c r="P276" s="42">
        <f t="shared" si="17"/>
        <v>838188</v>
      </c>
      <c r="Q276" s="42">
        <f t="shared" si="18"/>
        <v>838188</v>
      </c>
      <c r="R276" s="3"/>
    </row>
    <row r="277" spans="1:18" ht="18" customHeight="1" x14ac:dyDescent="0.25">
      <c r="A277" s="9"/>
      <c r="B277" s="411"/>
      <c r="C277" s="37"/>
      <c r="D277" s="38"/>
      <c r="E277" s="38"/>
      <c r="F277" s="72"/>
      <c r="G277" s="40">
        <v>130</v>
      </c>
      <c r="H277" s="41">
        <v>40675</v>
      </c>
      <c r="I277" s="42">
        <v>828864</v>
      </c>
      <c r="J277" s="25">
        <v>828864</v>
      </c>
      <c r="K277" s="37"/>
      <c r="L277" s="37"/>
      <c r="M277" s="25">
        <v>828864</v>
      </c>
      <c r="N277" s="25">
        <v>828864</v>
      </c>
      <c r="O277" s="36"/>
      <c r="P277" s="42">
        <f t="shared" si="17"/>
        <v>828864</v>
      </c>
      <c r="Q277" s="42">
        <f t="shared" si="18"/>
        <v>828864</v>
      </c>
    </row>
    <row r="278" spans="1:18" ht="18" customHeight="1" x14ac:dyDescent="0.25">
      <c r="A278" s="9"/>
      <c r="B278" s="411"/>
      <c r="C278" s="37"/>
      <c r="D278" s="38"/>
      <c r="E278" s="38"/>
      <c r="F278" s="72"/>
      <c r="G278" s="40">
        <v>178</v>
      </c>
      <c r="H278" s="41">
        <v>40716</v>
      </c>
      <c r="I278" s="42">
        <v>1400590</v>
      </c>
      <c r="J278" s="25">
        <v>1400590</v>
      </c>
      <c r="K278" s="37"/>
      <c r="L278" s="37"/>
      <c r="M278" s="25">
        <v>1400590</v>
      </c>
      <c r="N278" s="25">
        <v>1400590</v>
      </c>
      <c r="O278" s="36"/>
      <c r="P278" s="42">
        <f t="shared" si="17"/>
        <v>1400590</v>
      </c>
      <c r="Q278" s="42">
        <f t="shared" si="18"/>
        <v>1400590</v>
      </c>
    </row>
    <row r="279" spans="1:18" ht="18" customHeight="1" x14ac:dyDescent="0.25">
      <c r="A279" s="9"/>
      <c r="B279" s="411"/>
      <c r="C279" s="37"/>
      <c r="D279" s="38"/>
      <c r="E279" s="38"/>
      <c r="F279" s="72"/>
      <c r="G279" s="40">
        <v>191</v>
      </c>
      <c r="H279" s="41">
        <v>40724</v>
      </c>
      <c r="I279" s="42">
        <v>1403790</v>
      </c>
      <c r="J279" s="25">
        <v>1403790</v>
      </c>
      <c r="K279" s="37"/>
      <c r="L279" s="37"/>
      <c r="M279" s="25">
        <v>1403790</v>
      </c>
      <c r="N279" s="25">
        <v>1403790</v>
      </c>
      <c r="O279" s="36"/>
      <c r="P279" s="42">
        <f t="shared" si="17"/>
        <v>1403790</v>
      </c>
      <c r="Q279" s="42">
        <f t="shared" si="18"/>
        <v>1403790</v>
      </c>
    </row>
    <row r="280" spans="1:18" ht="18" customHeight="1" x14ac:dyDescent="0.25">
      <c r="A280" s="9"/>
      <c r="B280" s="438"/>
      <c r="C280" s="37"/>
      <c r="D280" s="38"/>
      <c r="E280" s="38"/>
      <c r="F280" s="72"/>
      <c r="G280" s="40">
        <v>242</v>
      </c>
      <c r="H280" s="41">
        <v>40763</v>
      </c>
      <c r="I280" s="42">
        <v>5013686.01</v>
      </c>
      <c r="J280" s="25">
        <v>865732.01</v>
      </c>
      <c r="K280" s="37"/>
      <c r="L280" s="37"/>
      <c r="M280" s="25">
        <v>5013686.01</v>
      </c>
      <c r="N280" s="25">
        <v>5013686.01</v>
      </c>
      <c r="O280" s="36"/>
      <c r="P280" s="42">
        <f t="shared" si="17"/>
        <v>5013686.01</v>
      </c>
      <c r="Q280" s="42">
        <f t="shared" si="18"/>
        <v>5013686.01</v>
      </c>
    </row>
    <row r="281" spans="1:18" ht="18" customHeight="1" x14ac:dyDescent="0.25">
      <c r="A281" s="9"/>
      <c r="B281" s="410" t="s">
        <v>85</v>
      </c>
      <c r="C281" s="37"/>
      <c r="D281" s="38"/>
      <c r="E281" s="38"/>
      <c r="F281" s="72"/>
      <c r="G281" s="40">
        <v>7792</v>
      </c>
      <c r="H281" s="41">
        <v>41561</v>
      </c>
      <c r="I281" s="42">
        <v>123942.61016949153</v>
      </c>
      <c r="J281" s="25">
        <v>146252.28</v>
      </c>
      <c r="K281" s="37"/>
      <c r="L281" s="37"/>
      <c r="M281" s="25">
        <f>N281/1.18</f>
        <v>123942.61016949153</v>
      </c>
      <c r="N281" s="25">
        <v>146252.28</v>
      </c>
      <c r="O281" s="36"/>
      <c r="P281" s="42">
        <f t="shared" si="17"/>
        <v>123942.61016949153</v>
      </c>
      <c r="Q281" s="42">
        <f t="shared" si="18"/>
        <v>146252.28</v>
      </c>
    </row>
    <row r="282" spans="1:18" ht="18" customHeight="1" x14ac:dyDescent="0.25">
      <c r="A282" s="9"/>
      <c r="B282" s="411"/>
      <c r="C282" s="37"/>
      <c r="D282" s="38"/>
      <c r="E282" s="38"/>
      <c r="F282" s="72"/>
      <c r="G282" s="40">
        <v>7848</v>
      </c>
      <c r="H282" s="41">
        <v>41562</v>
      </c>
      <c r="I282" s="42">
        <v>19767.305084745763</v>
      </c>
      <c r="J282" s="25">
        <v>23325.42</v>
      </c>
      <c r="K282" s="37"/>
      <c r="L282" s="37"/>
      <c r="M282" s="25">
        <f t="shared" ref="M282:M286" si="23">N282/1.18</f>
        <v>19767.305084745763</v>
      </c>
      <c r="N282" s="25">
        <v>23325.42</v>
      </c>
      <c r="O282" s="36"/>
      <c r="P282" s="42">
        <f t="shared" si="17"/>
        <v>19767.305084745763</v>
      </c>
      <c r="Q282" s="42">
        <f t="shared" si="18"/>
        <v>23325.42</v>
      </c>
    </row>
    <row r="283" spans="1:18" ht="18" customHeight="1" x14ac:dyDescent="0.25">
      <c r="A283" s="9"/>
      <c r="B283" s="411"/>
      <c r="C283" s="37"/>
      <c r="D283" s="38"/>
      <c r="E283" s="38"/>
      <c r="F283" s="72"/>
      <c r="G283" s="40">
        <v>8881</v>
      </c>
      <c r="H283" s="41">
        <v>41597</v>
      </c>
      <c r="I283" s="42">
        <v>835501.88135593222</v>
      </c>
      <c r="J283" s="25">
        <v>985892.22</v>
      </c>
      <c r="K283" s="37"/>
      <c r="L283" s="37"/>
      <c r="M283" s="25">
        <f t="shared" si="23"/>
        <v>835501.88135593222</v>
      </c>
      <c r="N283" s="25">
        <v>985892.22</v>
      </c>
      <c r="O283" s="36"/>
      <c r="P283" s="42">
        <f t="shared" si="17"/>
        <v>835501.88135593222</v>
      </c>
      <c r="Q283" s="42">
        <f t="shared" si="18"/>
        <v>985892.22</v>
      </c>
    </row>
    <row r="284" spans="1:18" ht="18" customHeight="1" x14ac:dyDescent="0.25">
      <c r="A284" s="9"/>
      <c r="B284" s="410" t="s">
        <v>84</v>
      </c>
      <c r="C284" s="37"/>
      <c r="D284" s="38"/>
      <c r="E284" s="38"/>
      <c r="F284" s="72"/>
      <c r="G284" s="40">
        <v>9931</v>
      </c>
      <c r="H284" s="41">
        <v>41631</v>
      </c>
      <c r="I284" s="42">
        <v>1101694.9152542374</v>
      </c>
      <c r="J284" s="25">
        <v>1300000</v>
      </c>
      <c r="K284" s="37"/>
      <c r="L284" s="37"/>
      <c r="M284" s="25">
        <f t="shared" si="23"/>
        <v>1101694.9152542374</v>
      </c>
      <c r="N284" s="25">
        <v>1300000</v>
      </c>
      <c r="O284" s="36"/>
      <c r="P284" s="42">
        <f t="shared" si="17"/>
        <v>1101694.9152542374</v>
      </c>
      <c r="Q284" s="42">
        <f t="shared" si="18"/>
        <v>1300000</v>
      </c>
    </row>
    <row r="285" spans="1:18" ht="18" customHeight="1" x14ac:dyDescent="0.25">
      <c r="A285" s="9"/>
      <c r="B285" s="411"/>
      <c r="C285" s="37"/>
      <c r="D285" s="38"/>
      <c r="E285" s="38"/>
      <c r="F285" s="72"/>
      <c r="G285" s="40">
        <v>9968</v>
      </c>
      <c r="H285" s="41">
        <v>41632</v>
      </c>
      <c r="I285" s="42">
        <v>1051601.6949152544</v>
      </c>
      <c r="J285" s="25">
        <v>1220000</v>
      </c>
      <c r="K285" s="37"/>
      <c r="L285" s="37"/>
      <c r="M285" s="25">
        <f t="shared" si="23"/>
        <v>1051601.6949152544</v>
      </c>
      <c r="N285" s="25">
        <v>1240890</v>
      </c>
      <c r="O285" s="36"/>
      <c r="P285" s="42">
        <f t="shared" si="17"/>
        <v>1051601.6949152544</v>
      </c>
      <c r="Q285" s="42">
        <f t="shared" si="18"/>
        <v>1240890</v>
      </c>
    </row>
    <row r="286" spans="1:18" ht="18" customHeight="1" x14ac:dyDescent="0.25">
      <c r="A286" s="111"/>
      <c r="B286" s="131" t="s">
        <v>92</v>
      </c>
      <c r="C286" s="89"/>
      <c r="D286" s="113"/>
      <c r="E286" s="113"/>
      <c r="F286" s="72"/>
      <c r="G286" s="40">
        <v>4983</v>
      </c>
      <c r="H286" s="41">
        <v>41082</v>
      </c>
      <c r="I286" s="42">
        <v>385016.94915254239</v>
      </c>
      <c r="J286" s="25">
        <v>681480</v>
      </c>
      <c r="K286" s="37"/>
      <c r="L286" s="37"/>
      <c r="M286" s="25">
        <f t="shared" si="23"/>
        <v>385016.94915254239</v>
      </c>
      <c r="N286" s="25">
        <v>454320</v>
      </c>
      <c r="O286" s="36"/>
      <c r="P286" s="42">
        <f t="shared" si="17"/>
        <v>385016.94915254239</v>
      </c>
      <c r="Q286" s="42">
        <f t="shared" si="18"/>
        <v>454320</v>
      </c>
    </row>
    <row r="287" spans="1:18" ht="36" customHeight="1" x14ac:dyDescent="0.25">
      <c r="A287" s="9"/>
      <c r="B287" s="10" t="s">
        <v>93</v>
      </c>
      <c r="C287" s="37" t="s">
        <v>94</v>
      </c>
      <c r="D287" s="38" t="s">
        <v>734</v>
      </c>
      <c r="E287" s="38"/>
      <c r="F287" s="72"/>
      <c r="G287" s="40">
        <v>68</v>
      </c>
      <c r="H287" s="41">
        <v>42349</v>
      </c>
      <c r="I287" s="42">
        <v>2450000</v>
      </c>
      <c r="J287" s="25">
        <v>2450000</v>
      </c>
      <c r="K287" s="37"/>
      <c r="L287" s="37"/>
      <c r="M287" s="25">
        <v>2450000</v>
      </c>
      <c r="N287" s="25">
        <v>2450000</v>
      </c>
      <c r="O287" s="36"/>
      <c r="P287" s="42">
        <f t="shared" si="17"/>
        <v>2450000</v>
      </c>
      <c r="Q287" s="42">
        <f t="shared" si="18"/>
        <v>2450000</v>
      </c>
    </row>
    <row r="288" spans="1:18" ht="36" customHeight="1" x14ac:dyDescent="0.25">
      <c r="A288" s="9"/>
      <c r="B288" s="10" t="s">
        <v>93</v>
      </c>
      <c r="C288" s="38" t="s">
        <v>95</v>
      </c>
      <c r="D288" s="38" t="s">
        <v>735</v>
      </c>
      <c r="E288" s="38"/>
      <c r="F288" s="72"/>
      <c r="G288" s="40">
        <v>69</v>
      </c>
      <c r="H288" s="41">
        <v>42349</v>
      </c>
      <c r="I288" s="42">
        <v>2100000</v>
      </c>
      <c r="J288" s="25">
        <v>2100000</v>
      </c>
      <c r="K288" s="37"/>
      <c r="L288" s="37"/>
      <c r="M288" s="25">
        <v>2100000</v>
      </c>
      <c r="N288" s="25">
        <v>2100000</v>
      </c>
      <c r="O288" s="36"/>
      <c r="P288" s="42">
        <f t="shared" si="17"/>
        <v>2100000</v>
      </c>
      <c r="Q288" s="42">
        <f t="shared" si="18"/>
        <v>2100000</v>
      </c>
    </row>
    <row r="289" spans="1:17" ht="36" customHeight="1" x14ac:dyDescent="0.25">
      <c r="A289" s="9"/>
      <c r="B289" s="11" t="s">
        <v>1995</v>
      </c>
      <c r="C289" s="37" t="s">
        <v>96</v>
      </c>
      <c r="D289" s="38" t="s">
        <v>736</v>
      </c>
      <c r="E289" s="38"/>
      <c r="F289" s="72"/>
      <c r="G289" s="40" t="s">
        <v>103</v>
      </c>
      <c r="H289" s="41" t="s">
        <v>104</v>
      </c>
      <c r="I289" s="42">
        <v>1379130.88</v>
      </c>
      <c r="J289" s="25">
        <v>1379130.88</v>
      </c>
      <c r="K289" s="37"/>
      <c r="L289" s="37"/>
      <c r="M289" s="25">
        <v>1379130.88</v>
      </c>
      <c r="N289" s="25">
        <v>1379130.88</v>
      </c>
      <c r="O289" s="36"/>
      <c r="P289" s="42">
        <f t="shared" si="17"/>
        <v>1379130.88</v>
      </c>
      <c r="Q289" s="42">
        <f t="shared" si="18"/>
        <v>1379130.88</v>
      </c>
    </row>
    <row r="290" spans="1:17" ht="33.75" customHeight="1" x14ac:dyDescent="0.25">
      <c r="A290" s="9"/>
      <c r="B290" s="11" t="s">
        <v>1996</v>
      </c>
      <c r="C290" s="37" t="s">
        <v>738</v>
      </c>
      <c r="D290" s="38" t="s">
        <v>737</v>
      </c>
      <c r="E290" s="38"/>
      <c r="F290" s="72"/>
      <c r="G290" s="40" t="s">
        <v>99</v>
      </c>
      <c r="H290" s="41" t="s">
        <v>105</v>
      </c>
      <c r="I290" s="42">
        <v>460190.13</v>
      </c>
      <c r="J290" s="25">
        <v>460190.13</v>
      </c>
      <c r="K290" s="37"/>
      <c r="L290" s="37"/>
      <c r="M290" s="25">
        <v>460190.13</v>
      </c>
      <c r="N290" s="25">
        <v>460190.13</v>
      </c>
      <c r="O290" s="36"/>
      <c r="P290" s="42">
        <f t="shared" si="17"/>
        <v>460190.13</v>
      </c>
      <c r="Q290" s="42">
        <f t="shared" si="18"/>
        <v>460190.13</v>
      </c>
    </row>
    <row r="291" spans="1:17" ht="33.75" customHeight="1" x14ac:dyDescent="0.25">
      <c r="A291" s="9"/>
      <c r="B291" s="11" t="s">
        <v>1996</v>
      </c>
      <c r="C291" s="37" t="s">
        <v>1759</v>
      </c>
      <c r="D291" s="38" t="s">
        <v>737</v>
      </c>
      <c r="E291" s="38"/>
      <c r="F291" s="72"/>
      <c r="G291" s="40" t="s">
        <v>1760</v>
      </c>
      <c r="H291" s="41">
        <v>42593</v>
      </c>
      <c r="I291" s="42">
        <v>640728.62</v>
      </c>
      <c r="J291" s="25">
        <v>640728.62</v>
      </c>
      <c r="K291" s="37"/>
      <c r="L291" s="37"/>
      <c r="M291" s="25">
        <v>640728.62</v>
      </c>
      <c r="N291" s="25">
        <v>640728.62</v>
      </c>
      <c r="O291" s="36"/>
      <c r="P291" s="42">
        <f t="shared" si="17"/>
        <v>640728.62</v>
      </c>
      <c r="Q291" s="42">
        <f t="shared" si="18"/>
        <v>640728.62</v>
      </c>
    </row>
    <row r="292" spans="1:17" ht="30" customHeight="1" x14ac:dyDescent="0.25">
      <c r="A292" s="9"/>
      <c r="B292" s="11" t="s">
        <v>1997</v>
      </c>
      <c r="C292" s="37" t="s">
        <v>738</v>
      </c>
      <c r="D292" s="38" t="s">
        <v>737</v>
      </c>
      <c r="E292" s="38"/>
      <c r="F292" s="72"/>
      <c r="G292" s="40" t="s">
        <v>100</v>
      </c>
      <c r="H292" s="41" t="s">
        <v>106</v>
      </c>
      <c r="I292" s="42">
        <v>1059138.7</v>
      </c>
      <c r="J292" s="25">
        <v>1059138.7</v>
      </c>
      <c r="K292" s="37"/>
      <c r="L292" s="37"/>
      <c r="M292" s="25">
        <v>1059138.7</v>
      </c>
      <c r="N292" s="25">
        <v>1059138.7</v>
      </c>
      <c r="O292" s="36"/>
      <c r="P292" s="42">
        <f t="shared" si="17"/>
        <v>1059138.7</v>
      </c>
      <c r="Q292" s="42">
        <f t="shared" si="18"/>
        <v>1059138.7</v>
      </c>
    </row>
    <row r="293" spans="1:17" ht="36" customHeight="1" x14ac:dyDescent="0.25">
      <c r="A293" s="9"/>
      <c r="B293" s="11" t="s">
        <v>1998</v>
      </c>
      <c r="C293" s="37" t="s">
        <v>97</v>
      </c>
      <c r="D293" s="38" t="s">
        <v>739</v>
      </c>
      <c r="E293" s="38"/>
      <c r="F293" s="72"/>
      <c r="G293" s="40" t="s">
        <v>101</v>
      </c>
      <c r="H293" s="41" t="s">
        <v>107</v>
      </c>
      <c r="I293" s="42">
        <v>1387600</v>
      </c>
      <c r="J293" s="25">
        <v>1387600</v>
      </c>
      <c r="K293" s="37"/>
      <c r="L293" s="37"/>
      <c r="M293" s="25">
        <v>1387600</v>
      </c>
      <c r="N293" s="25">
        <v>1387600</v>
      </c>
      <c r="O293" s="36"/>
      <c r="P293" s="42">
        <f t="shared" si="17"/>
        <v>1387600</v>
      </c>
      <c r="Q293" s="42">
        <f t="shared" si="18"/>
        <v>1387600</v>
      </c>
    </row>
    <row r="294" spans="1:17" ht="84.75" customHeight="1" x14ac:dyDescent="0.25">
      <c r="A294" s="9"/>
      <c r="B294" s="11" t="s">
        <v>1999</v>
      </c>
      <c r="C294" s="37" t="s">
        <v>98</v>
      </c>
      <c r="D294" s="37" t="s">
        <v>98</v>
      </c>
      <c r="E294" s="38"/>
      <c r="F294" s="72"/>
      <c r="G294" s="40" t="s">
        <v>102</v>
      </c>
      <c r="H294" s="41" t="s">
        <v>108</v>
      </c>
      <c r="I294" s="42">
        <v>3479821.44</v>
      </c>
      <c r="J294" s="25">
        <v>3479821.44</v>
      </c>
      <c r="K294" s="37"/>
      <c r="L294" s="37"/>
      <c r="M294" s="25">
        <v>3479821.44</v>
      </c>
      <c r="N294" s="25">
        <v>3479821.44</v>
      </c>
      <c r="O294" s="36"/>
      <c r="P294" s="42">
        <f t="shared" si="17"/>
        <v>3479821.44</v>
      </c>
      <c r="Q294" s="42">
        <f t="shared" si="18"/>
        <v>3479821.44</v>
      </c>
    </row>
    <row r="295" spans="1:17" ht="39.75" customHeight="1" x14ac:dyDescent="0.25">
      <c r="A295" s="9"/>
      <c r="B295" s="11" t="s">
        <v>2000</v>
      </c>
      <c r="C295" s="37" t="s">
        <v>740</v>
      </c>
      <c r="D295" s="38" t="s">
        <v>717</v>
      </c>
      <c r="E295" s="38"/>
      <c r="F295" s="72"/>
      <c r="G295" s="96" t="s">
        <v>109</v>
      </c>
      <c r="H295" s="97" t="s">
        <v>110</v>
      </c>
      <c r="I295" s="87">
        <v>246186.44067796611</v>
      </c>
      <c r="J295" s="98">
        <v>290500</v>
      </c>
      <c r="K295" s="37"/>
      <c r="L295" s="37"/>
      <c r="M295" s="25">
        <f>N295/1.18</f>
        <v>246186.44067796611</v>
      </c>
      <c r="N295" s="25">
        <v>290500</v>
      </c>
      <c r="O295" s="36"/>
      <c r="P295" s="42">
        <f t="shared" si="17"/>
        <v>246186.44067796611</v>
      </c>
      <c r="Q295" s="42">
        <f t="shared" si="18"/>
        <v>290500</v>
      </c>
    </row>
    <row r="296" spans="1:17" ht="18" customHeight="1" x14ac:dyDescent="0.25">
      <c r="A296" s="9"/>
      <c r="B296" s="402" t="s">
        <v>2001</v>
      </c>
      <c r="C296" s="416" t="s">
        <v>742</v>
      </c>
      <c r="D296" s="412" t="s">
        <v>741</v>
      </c>
      <c r="E296" s="38"/>
      <c r="F296" s="72"/>
      <c r="G296" s="40"/>
      <c r="H296" s="41"/>
      <c r="I296" s="42"/>
      <c r="J296" s="25"/>
      <c r="K296" s="37"/>
      <c r="L296" s="37"/>
      <c r="M296" s="25"/>
      <c r="N296" s="25"/>
      <c r="O296" s="36"/>
      <c r="P296" s="42">
        <f t="shared" si="17"/>
        <v>0</v>
      </c>
      <c r="Q296" s="42">
        <f t="shared" si="18"/>
        <v>0</v>
      </c>
    </row>
    <row r="297" spans="1:17" ht="18" customHeight="1" x14ac:dyDescent="0.25">
      <c r="A297" s="9"/>
      <c r="B297" s="418"/>
      <c r="C297" s="430"/>
      <c r="D297" s="413"/>
      <c r="E297" s="38"/>
      <c r="F297" s="72"/>
      <c r="G297" s="40" t="s">
        <v>111</v>
      </c>
      <c r="H297" s="41" t="s">
        <v>116</v>
      </c>
      <c r="I297" s="42">
        <v>171650</v>
      </c>
      <c r="J297" s="25">
        <v>202547</v>
      </c>
      <c r="K297" s="37"/>
      <c r="L297" s="37"/>
      <c r="M297" s="25">
        <v>171650</v>
      </c>
      <c r="N297" s="25">
        <v>202547</v>
      </c>
      <c r="O297" s="36"/>
      <c r="P297" s="42">
        <v>171650</v>
      </c>
      <c r="Q297" s="42">
        <f t="shared" si="18"/>
        <v>202547</v>
      </c>
    </row>
    <row r="298" spans="1:17" ht="18" customHeight="1" x14ac:dyDescent="0.25">
      <c r="A298" s="9"/>
      <c r="B298" s="418"/>
      <c r="C298" s="430"/>
      <c r="D298" s="413"/>
      <c r="E298" s="38"/>
      <c r="F298" s="72"/>
      <c r="G298" s="40" t="s">
        <v>112</v>
      </c>
      <c r="H298" s="41" t="s">
        <v>117</v>
      </c>
      <c r="I298" s="42">
        <f>M298</f>
        <v>296610.16949152545</v>
      </c>
      <c r="J298" s="25">
        <v>350000</v>
      </c>
      <c r="K298" s="37"/>
      <c r="L298" s="37"/>
      <c r="M298" s="25">
        <f>P298</f>
        <v>296610.16949152545</v>
      </c>
      <c r="N298" s="25">
        <v>350000</v>
      </c>
      <c r="O298" s="36"/>
      <c r="P298" s="42">
        <f t="shared" ref="P298:P307" si="24">Q298/1.18</f>
        <v>296610.16949152545</v>
      </c>
      <c r="Q298" s="42">
        <f t="shared" si="18"/>
        <v>350000</v>
      </c>
    </row>
    <row r="299" spans="1:17" ht="18" customHeight="1" x14ac:dyDescent="0.25">
      <c r="A299" s="9"/>
      <c r="B299" s="418"/>
      <c r="C299" s="430"/>
      <c r="D299" s="413"/>
      <c r="E299" s="38"/>
      <c r="F299" s="72"/>
      <c r="G299" s="96" t="s">
        <v>113</v>
      </c>
      <c r="H299" s="97" t="s">
        <v>118</v>
      </c>
      <c r="I299" s="87">
        <f t="shared" ref="I299:I301" si="25">M299</f>
        <v>108060.00000000001</v>
      </c>
      <c r="J299" s="98">
        <v>127510.8</v>
      </c>
      <c r="K299" s="37"/>
      <c r="L299" s="37"/>
      <c r="M299" s="25">
        <f t="shared" ref="M299:M302" si="26">P299</f>
        <v>108060.00000000001</v>
      </c>
      <c r="N299" s="25">
        <v>127510.8</v>
      </c>
      <c r="O299" s="36"/>
      <c r="P299" s="42">
        <f t="shared" si="24"/>
        <v>108060.00000000001</v>
      </c>
      <c r="Q299" s="42">
        <f t="shared" si="18"/>
        <v>127510.8</v>
      </c>
    </row>
    <row r="300" spans="1:17" ht="18" customHeight="1" x14ac:dyDescent="0.25">
      <c r="A300" s="9"/>
      <c r="B300" s="418"/>
      <c r="C300" s="417"/>
      <c r="D300" s="414"/>
      <c r="E300" s="38"/>
      <c r="F300" s="72"/>
      <c r="G300" s="40" t="s">
        <v>114</v>
      </c>
      <c r="H300" s="41" t="s">
        <v>119</v>
      </c>
      <c r="I300" s="42">
        <f t="shared" si="25"/>
        <v>108050.84745762713</v>
      </c>
      <c r="J300" s="25">
        <v>127500</v>
      </c>
      <c r="K300" s="37"/>
      <c r="L300" s="37"/>
      <c r="M300" s="25">
        <f t="shared" si="26"/>
        <v>108050.84745762713</v>
      </c>
      <c r="N300" s="25">
        <v>127500</v>
      </c>
      <c r="O300" s="36"/>
      <c r="P300" s="42">
        <f t="shared" si="24"/>
        <v>108050.84745762713</v>
      </c>
      <c r="Q300" s="42">
        <f t="shared" si="18"/>
        <v>127500</v>
      </c>
    </row>
    <row r="301" spans="1:17" ht="18" customHeight="1" x14ac:dyDescent="0.25">
      <c r="A301" s="9"/>
      <c r="B301" s="418"/>
      <c r="C301" s="57" t="s">
        <v>1771</v>
      </c>
      <c r="D301" s="58" t="s">
        <v>542</v>
      </c>
      <c r="E301" s="38"/>
      <c r="F301" s="72"/>
      <c r="G301" s="40" t="s">
        <v>1772</v>
      </c>
      <c r="H301" s="41">
        <v>42473</v>
      </c>
      <c r="I301" s="42">
        <f t="shared" si="25"/>
        <v>147814.1525423729</v>
      </c>
      <c r="J301" s="25">
        <v>174420.7</v>
      </c>
      <c r="K301" s="37"/>
      <c r="L301" s="37"/>
      <c r="M301" s="25">
        <f t="shared" si="26"/>
        <v>147814.1525423729</v>
      </c>
      <c r="N301" s="25">
        <v>174420.7</v>
      </c>
      <c r="O301" s="36"/>
      <c r="P301" s="42">
        <f t="shared" si="24"/>
        <v>147814.1525423729</v>
      </c>
      <c r="Q301" s="42">
        <f t="shared" si="18"/>
        <v>174420.7</v>
      </c>
    </row>
    <row r="302" spans="1:17" ht="34.5" customHeight="1" x14ac:dyDescent="0.25">
      <c r="A302" s="9"/>
      <c r="B302" s="403"/>
      <c r="C302" s="37" t="s">
        <v>743</v>
      </c>
      <c r="D302" s="38" t="s">
        <v>536</v>
      </c>
      <c r="E302" s="38"/>
      <c r="F302" s="72"/>
      <c r="G302" s="40" t="s">
        <v>1757</v>
      </c>
      <c r="H302" s="41">
        <v>42643</v>
      </c>
      <c r="I302" s="42">
        <f t="shared" ref="I302:I307" si="27">M302</f>
        <v>216120.00000000003</v>
      </c>
      <c r="J302" s="25">
        <v>255021.6</v>
      </c>
      <c r="K302" s="37"/>
      <c r="L302" s="37"/>
      <c r="M302" s="25">
        <f t="shared" si="26"/>
        <v>216120.00000000003</v>
      </c>
      <c r="N302" s="25">
        <v>255021.6</v>
      </c>
      <c r="O302" s="36"/>
      <c r="P302" s="42">
        <f t="shared" si="24"/>
        <v>216120.00000000003</v>
      </c>
      <c r="Q302" s="42">
        <f t="shared" si="18"/>
        <v>255021.6</v>
      </c>
    </row>
    <row r="303" spans="1:17" ht="30" customHeight="1" x14ac:dyDescent="0.25">
      <c r="A303" s="9"/>
      <c r="B303" s="11" t="s">
        <v>2002</v>
      </c>
      <c r="C303" s="37" t="s">
        <v>744</v>
      </c>
      <c r="D303" s="38" t="s">
        <v>670</v>
      </c>
      <c r="E303" s="38"/>
      <c r="F303" s="72"/>
      <c r="G303" s="96" t="s">
        <v>121</v>
      </c>
      <c r="H303" s="97" t="s">
        <v>123</v>
      </c>
      <c r="I303" s="87">
        <f t="shared" si="27"/>
        <v>7142.7796610169489</v>
      </c>
      <c r="J303" s="98">
        <v>8428.48</v>
      </c>
      <c r="K303" s="37"/>
      <c r="L303" s="37"/>
      <c r="M303" s="25">
        <f>P303</f>
        <v>7142.7796610169489</v>
      </c>
      <c r="N303" s="25">
        <v>8428.48</v>
      </c>
      <c r="O303" s="36"/>
      <c r="P303" s="42">
        <f t="shared" si="24"/>
        <v>7142.7796610169489</v>
      </c>
      <c r="Q303" s="42">
        <f t="shared" si="18"/>
        <v>8428.48</v>
      </c>
    </row>
    <row r="304" spans="1:17" ht="30" customHeight="1" x14ac:dyDescent="0.25">
      <c r="A304" s="9"/>
      <c r="B304" s="11" t="s">
        <v>2003</v>
      </c>
      <c r="C304" s="37" t="s">
        <v>1822</v>
      </c>
      <c r="D304" s="38" t="s">
        <v>1823</v>
      </c>
      <c r="E304" s="38"/>
      <c r="F304" s="72"/>
      <c r="G304" s="40" t="s">
        <v>1824</v>
      </c>
      <c r="H304" s="41">
        <v>42942</v>
      </c>
      <c r="I304" s="42">
        <f t="shared" si="27"/>
        <v>9768.6525423728817</v>
      </c>
      <c r="J304" s="25">
        <v>11527.01</v>
      </c>
      <c r="K304" s="37"/>
      <c r="L304" s="37"/>
      <c r="M304" s="25">
        <f>P304</f>
        <v>9768.6525423728817</v>
      </c>
      <c r="N304" s="25">
        <v>11527.01</v>
      </c>
      <c r="O304" s="36"/>
      <c r="P304" s="42">
        <f t="shared" si="24"/>
        <v>9768.6525423728817</v>
      </c>
      <c r="Q304" s="42">
        <v>11527.01</v>
      </c>
    </row>
    <row r="305" spans="1:17" ht="30" customHeight="1" x14ac:dyDescent="0.25">
      <c r="A305" s="9"/>
      <c r="B305" s="11" t="s">
        <v>2003</v>
      </c>
      <c r="C305" s="37" t="s">
        <v>1825</v>
      </c>
      <c r="D305" s="38" t="s">
        <v>760</v>
      </c>
      <c r="E305" s="38"/>
      <c r="F305" s="72"/>
      <c r="G305" s="40" t="s">
        <v>1826</v>
      </c>
      <c r="H305" s="41">
        <v>42831</v>
      </c>
      <c r="I305" s="42">
        <f t="shared" si="27"/>
        <v>20803.508474576272</v>
      </c>
      <c r="J305" s="25">
        <v>24548.14</v>
      </c>
      <c r="K305" s="37"/>
      <c r="L305" s="37"/>
      <c r="M305" s="25">
        <f>P305</f>
        <v>20803.508474576272</v>
      </c>
      <c r="N305" s="25">
        <v>24548.14</v>
      </c>
      <c r="O305" s="36"/>
      <c r="P305" s="42">
        <f t="shared" si="24"/>
        <v>20803.508474576272</v>
      </c>
      <c r="Q305" s="42">
        <v>24548.14</v>
      </c>
    </row>
    <row r="306" spans="1:17" ht="53.25" customHeight="1" x14ac:dyDescent="0.25">
      <c r="A306" s="9"/>
      <c r="B306" s="11" t="s">
        <v>2003</v>
      </c>
      <c r="C306" s="37" t="s">
        <v>746</v>
      </c>
      <c r="D306" s="38" t="s">
        <v>745</v>
      </c>
      <c r="E306" s="38"/>
      <c r="F306" s="72"/>
      <c r="G306" s="40" t="s">
        <v>122</v>
      </c>
      <c r="H306" s="41" t="s">
        <v>124</v>
      </c>
      <c r="I306" s="42">
        <f t="shared" si="27"/>
        <v>88632.203389830509</v>
      </c>
      <c r="J306" s="25">
        <v>104586</v>
      </c>
      <c r="K306" s="37"/>
      <c r="L306" s="37"/>
      <c r="M306" s="25">
        <f>P306</f>
        <v>88632.203389830509</v>
      </c>
      <c r="N306" s="25">
        <v>104586</v>
      </c>
      <c r="O306" s="36"/>
      <c r="P306" s="42">
        <f t="shared" si="24"/>
        <v>88632.203389830509</v>
      </c>
      <c r="Q306" s="42">
        <f t="shared" si="18"/>
        <v>104586</v>
      </c>
    </row>
    <row r="307" spans="1:17" ht="30.75" customHeight="1" x14ac:dyDescent="0.25">
      <c r="A307" s="95"/>
      <c r="B307" s="80" t="s">
        <v>2004</v>
      </c>
      <c r="C307" s="72" t="s">
        <v>748</v>
      </c>
      <c r="D307" s="81" t="s">
        <v>747</v>
      </c>
      <c r="E307" s="38"/>
      <c r="F307" s="72"/>
      <c r="G307" s="93" t="s">
        <v>125</v>
      </c>
      <c r="H307" s="94" t="s">
        <v>115</v>
      </c>
      <c r="I307" s="90">
        <f t="shared" si="27"/>
        <v>701694.91525423736</v>
      </c>
      <c r="J307" s="92">
        <v>828000</v>
      </c>
      <c r="K307" s="37"/>
      <c r="L307" s="37"/>
      <c r="M307" s="25">
        <f>P307</f>
        <v>701694.91525423736</v>
      </c>
      <c r="N307" s="25">
        <v>828000</v>
      </c>
      <c r="O307" s="36"/>
      <c r="P307" s="42">
        <f t="shared" si="24"/>
        <v>701694.91525423736</v>
      </c>
      <c r="Q307" s="42">
        <f t="shared" si="18"/>
        <v>828000</v>
      </c>
    </row>
    <row r="308" spans="1:17" ht="33" customHeight="1" x14ac:dyDescent="0.25">
      <c r="A308" s="9"/>
      <c r="B308" s="11" t="s">
        <v>2005</v>
      </c>
      <c r="C308" s="37" t="s">
        <v>126</v>
      </c>
      <c r="D308" s="38"/>
      <c r="E308" s="38"/>
      <c r="F308" s="72"/>
      <c r="G308" s="96" t="s">
        <v>127</v>
      </c>
      <c r="H308" s="97" t="s">
        <v>128</v>
      </c>
      <c r="I308" s="87">
        <v>8551.83</v>
      </c>
      <c r="J308" s="98">
        <v>10091.16</v>
      </c>
      <c r="K308" s="37"/>
      <c r="L308" s="37"/>
      <c r="M308" s="42">
        <v>8551.83</v>
      </c>
      <c r="N308" s="25">
        <v>10091.16</v>
      </c>
      <c r="O308" s="36"/>
      <c r="P308" s="42">
        <v>8551.83</v>
      </c>
      <c r="Q308" s="42">
        <f t="shared" si="18"/>
        <v>10091.16</v>
      </c>
    </row>
    <row r="309" spans="1:17" ht="33" customHeight="1" x14ac:dyDescent="0.25">
      <c r="A309" s="9"/>
      <c r="B309" s="11" t="s">
        <v>2006</v>
      </c>
      <c r="C309" s="37" t="s">
        <v>750</v>
      </c>
      <c r="D309" s="38" t="s">
        <v>749</v>
      </c>
      <c r="E309" s="38"/>
      <c r="F309" s="72"/>
      <c r="G309" s="40" t="s">
        <v>129</v>
      </c>
      <c r="H309" s="41" t="s">
        <v>119</v>
      </c>
      <c r="I309" s="42">
        <v>733271.18</v>
      </c>
      <c r="J309" s="25">
        <v>733271.18</v>
      </c>
      <c r="K309" s="37"/>
      <c r="L309" s="37"/>
      <c r="M309" s="25">
        <f t="shared" ref="M309:M378" si="28">J309</f>
        <v>733271.18</v>
      </c>
      <c r="N309" s="25">
        <v>733271.18</v>
      </c>
      <c r="O309" s="36"/>
      <c r="P309" s="42">
        <f t="shared" si="17"/>
        <v>733271.18</v>
      </c>
      <c r="Q309" s="42">
        <f t="shared" si="18"/>
        <v>733271.18</v>
      </c>
    </row>
    <row r="310" spans="1:17" ht="36" customHeight="1" x14ac:dyDescent="0.25">
      <c r="A310" s="9"/>
      <c r="B310" s="11" t="s">
        <v>2007</v>
      </c>
      <c r="C310" s="37" t="s">
        <v>752</v>
      </c>
      <c r="D310" s="38" t="s">
        <v>751</v>
      </c>
      <c r="E310" s="38"/>
      <c r="F310" s="72"/>
      <c r="G310" s="40" t="s">
        <v>130</v>
      </c>
      <c r="H310" s="41" t="s">
        <v>117</v>
      </c>
      <c r="I310" s="42">
        <f>M310</f>
        <v>362372.88135593222</v>
      </c>
      <c r="J310" s="25">
        <v>427600</v>
      </c>
      <c r="K310" s="37"/>
      <c r="L310" s="37"/>
      <c r="M310" s="25">
        <f>P310</f>
        <v>362372.88135593222</v>
      </c>
      <c r="N310" s="25">
        <v>427600</v>
      </c>
      <c r="O310" s="36"/>
      <c r="P310" s="42">
        <f>Q310/1.18</f>
        <v>362372.88135593222</v>
      </c>
      <c r="Q310" s="42">
        <f t="shared" si="18"/>
        <v>427600</v>
      </c>
    </row>
    <row r="311" spans="1:17" ht="38.25" customHeight="1" x14ac:dyDescent="0.25">
      <c r="A311" s="111"/>
      <c r="B311" s="112" t="s">
        <v>2008</v>
      </c>
      <c r="C311" s="89" t="s">
        <v>755</v>
      </c>
      <c r="D311" s="113" t="s">
        <v>753</v>
      </c>
      <c r="E311" s="113"/>
      <c r="F311" s="89"/>
      <c r="G311" s="40" t="s">
        <v>131</v>
      </c>
      <c r="H311" s="41" t="s">
        <v>105</v>
      </c>
      <c r="I311" s="42">
        <v>776227.18</v>
      </c>
      <c r="J311" s="25">
        <v>776227.18</v>
      </c>
      <c r="K311" s="42" t="s">
        <v>2139</v>
      </c>
      <c r="L311" s="37"/>
      <c r="M311" s="25">
        <f t="shared" si="28"/>
        <v>776227.18</v>
      </c>
      <c r="N311" s="25">
        <v>776227.18</v>
      </c>
      <c r="O311" s="36"/>
      <c r="P311" s="42">
        <f t="shared" si="17"/>
        <v>776227.18</v>
      </c>
      <c r="Q311" s="42">
        <f t="shared" si="18"/>
        <v>776227.18</v>
      </c>
    </row>
    <row r="312" spans="1:17" ht="47.25" customHeight="1" x14ac:dyDescent="0.25">
      <c r="A312" s="9"/>
      <c r="B312" s="11" t="s">
        <v>2009</v>
      </c>
      <c r="C312" s="37" t="s">
        <v>756</v>
      </c>
      <c r="D312" s="38" t="s">
        <v>754</v>
      </c>
      <c r="E312" s="38"/>
      <c r="F312" s="72"/>
      <c r="G312" s="40" t="s">
        <v>132</v>
      </c>
      <c r="H312" s="41" t="s">
        <v>115</v>
      </c>
      <c r="I312" s="42">
        <v>377787.5</v>
      </c>
      <c r="J312" s="42">
        <v>377787.5</v>
      </c>
      <c r="K312" s="37"/>
      <c r="L312" s="37"/>
      <c r="M312" s="25">
        <f t="shared" si="28"/>
        <v>377787.5</v>
      </c>
      <c r="N312" s="25">
        <v>377787.5</v>
      </c>
      <c r="O312" s="36"/>
      <c r="P312" s="42">
        <f t="shared" si="17"/>
        <v>377787.5</v>
      </c>
      <c r="Q312" s="42">
        <f t="shared" si="18"/>
        <v>377787.5</v>
      </c>
    </row>
    <row r="313" spans="1:17" ht="47.25" customHeight="1" x14ac:dyDescent="0.25">
      <c r="A313" s="9"/>
      <c r="B313" s="11" t="s">
        <v>2009</v>
      </c>
      <c r="C313" s="37" t="s">
        <v>1836</v>
      </c>
      <c r="D313" s="38" t="s">
        <v>715</v>
      </c>
      <c r="E313" s="38"/>
      <c r="F313" s="72"/>
      <c r="G313" s="40" t="s">
        <v>1837</v>
      </c>
      <c r="H313" s="41">
        <v>42797</v>
      </c>
      <c r="I313" s="42">
        <f>J313</f>
        <v>79086.05</v>
      </c>
      <c r="J313" s="42">
        <v>79086.05</v>
      </c>
      <c r="K313" s="37"/>
      <c r="L313" s="37"/>
      <c r="M313" s="25">
        <f>N313</f>
        <v>79086.05</v>
      </c>
      <c r="N313" s="25">
        <v>79086.05</v>
      </c>
      <c r="O313" s="36"/>
      <c r="P313" s="42">
        <f>Q313</f>
        <v>79086.05</v>
      </c>
      <c r="Q313" s="42">
        <f t="shared" si="18"/>
        <v>79086.05</v>
      </c>
    </row>
    <row r="314" spans="1:17" ht="47.25" customHeight="1" x14ac:dyDescent="0.25">
      <c r="A314" s="9"/>
      <c r="B314" s="11" t="s">
        <v>2010</v>
      </c>
      <c r="C314" s="37" t="s">
        <v>756</v>
      </c>
      <c r="D314" s="38" t="s">
        <v>751</v>
      </c>
      <c r="E314" s="38"/>
      <c r="F314" s="72"/>
      <c r="G314" s="40" t="s">
        <v>133</v>
      </c>
      <c r="H314" s="41" t="s">
        <v>119</v>
      </c>
      <c r="I314" s="42">
        <v>130906.91</v>
      </c>
      <c r="J314" s="42">
        <v>130906.91</v>
      </c>
      <c r="K314" s="37"/>
      <c r="L314" s="37"/>
      <c r="M314" s="59">
        <f t="shared" si="28"/>
        <v>130906.91</v>
      </c>
      <c r="N314" s="59">
        <v>130906.91</v>
      </c>
      <c r="O314" s="36"/>
      <c r="P314" s="42">
        <f t="shared" si="17"/>
        <v>130906.91</v>
      </c>
      <c r="Q314" s="59">
        <f t="shared" si="18"/>
        <v>130906.91</v>
      </c>
    </row>
    <row r="315" spans="1:17" ht="47.25" customHeight="1" x14ac:dyDescent="0.25">
      <c r="A315" s="9"/>
      <c r="B315" s="11" t="s">
        <v>2011</v>
      </c>
      <c r="C315" s="37" t="s">
        <v>756</v>
      </c>
      <c r="D315" s="38" t="s">
        <v>751</v>
      </c>
      <c r="E315" s="38"/>
      <c r="F315" s="72"/>
      <c r="G315" s="40" t="s">
        <v>134</v>
      </c>
      <c r="H315" s="41" t="s">
        <v>142</v>
      </c>
      <c r="I315" s="42">
        <v>203087.77</v>
      </c>
      <c r="J315" s="42">
        <v>203087.77</v>
      </c>
      <c r="K315" s="37"/>
      <c r="L315" s="37"/>
      <c r="M315" s="59">
        <f t="shared" si="28"/>
        <v>203087.77</v>
      </c>
      <c r="N315" s="59">
        <v>203087.77</v>
      </c>
      <c r="O315" s="36"/>
      <c r="P315" s="42">
        <f t="shared" si="17"/>
        <v>203087.77</v>
      </c>
      <c r="Q315" s="59">
        <f t="shared" si="18"/>
        <v>203087.77</v>
      </c>
    </row>
    <row r="316" spans="1:17" ht="47.25" customHeight="1" x14ac:dyDescent="0.25">
      <c r="A316" s="9"/>
      <c r="B316" s="11" t="s">
        <v>2012</v>
      </c>
      <c r="C316" s="37" t="s">
        <v>758</v>
      </c>
      <c r="D316" s="38" t="s">
        <v>757</v>
      </c>
      <c r="E316" s="38"/>
      <c r="F316" s="72"/>
      <c r="G316" s="40" t="s">
        <v>135</v>
      </c>
      <c r="H316" s="41" t="s">
        <v>120</v>
      </c>
      <c r="I316" s="42">
        <v>87583.81</v>
      </c>
      <c r="J316" s="42">
        <v>87583.81</v>
      </c>
      <c r="K316" s="37"/>
      <c r="L316" s="37"/>
      <c r="M316" s="59">
        <f t="shared" si="28"/>
        <v>87583.81</v>
      </c>
      <c r="N316" s="59">
        <v>87583.81</v>
      </c>
      <c r="O316" s="36"/>
      <c r="P316" s="42">
        <f t="shared" si="17"/>
        <v>87583.81</v>
      </c>
      <c r="Q316" s="59">
        <f t="shared" si="18"/>
        <v>87583.81</v>
      </c>
    </row>
    <row r="317" spans="1:17" ht="47.25" customHeight="1" x14ac:dyDescent="0.25">
      <c r="A317" s="9"/>
      <c r="B317" s="11" t="s">
        <v>2012</v>
      </c>
      <c r="C317" s="37" t="s">
        <v>1758</v>
      </c>
      <c r="D317" s="38" t="s">
        <v>863</v>
      </c>
      <c r="E317" s="38"/>
      <c r="F317" s="72"/>
      <c r="G317" s="40" t="s">
        <v>470</v>
      </c>
      <c r="H317" s="41">
        <v>42643</v>
      </c>
      <c r="I317" s="42">
        <v>27292</v>
      </c>
      <c r="J317" s="42">
        <v>27292</v>
      </c>
      <c r="K317" s="37"/>
      <c r="L317" s="37"/>
      <c r="M317" s="59">
        <f t="shared" si="28"/>
        <v>27292</v>
      </c>
      <c r="N317" s="59">
        <v>27292</v>
      </c>
      <c r="O317" s="36"/>
      <c r="P317" s="42">
        <f t="shared" si="17"/>
        <v>27292</v>
      </c>
      <c r="Q317" s="59">
        <v>27292</v>
      </c>
    </row>
    <row r="318" spans="1:17" ht="47.25" customHeight="1" x14ac:dyDescent="0.25">
      <c r="A318" s="9"/>
      <c r="B318" s="11" t="s">
        <v>2013</v>
      </c>
      <c r="C318" s="37" t="s">
        <v>759</v>
      </c>
      <c r="D318" s="38" t="s">
        <v>677</v>
      </c>
      <c r="E318" s="38"/>
      <c r="F318" s="72"/>
      <c r="G318" s="40" t="s">
        <v>136</v>
      </c>
      <c r="H318" s="41" t="s">
        <v>143</v>
      </c>
      <c r="I318" s="42">
        <v>360134.11</v>
      </c>
      <c r="J318" s="42">
        <v>360134.11</v>
      </c>
      <c r="K318" s="37"/>
      <c r="L318" s="37"/>
      <c r="M318" s="59">
        <f t="shared" si="28"/>
        <v>360134.11</v>
      </c>
      <c r="N318" s="59">
        <v>360134.11</v>
      </c>
      <c r="O318" s="36"/>
      <c r="P318" s="42">
        <f t="shared" si="17"/>
        <v>360134.11</v>
      </c>
      <c r="Q318" s="59">
        <f t="shared" si="18"/>
        <v>360134.11</v>
      </c>
    </row>
    <row r="319" spans="1:17" ht="47.25" customHeight="1" x14ac:dyDescent="0.25">
      <c r="A319" s="9"/>
      <c r="B319" s="11" t="s">
        <v>2014</v>
      </c>
      <c r="C319" s="37" t="s">
        <v>761</v>
      </c>
      <c r="D319" s="38" t="s">
        <v>760</v>
      </c>
      <c r="E319" s="38"/>
      <c r="F319" s="72"/>
      <c r="G319" s="40" t="s">
        <v>137</v>
      </c>
      <c r="H319" s="41" t="s">
        <v>144</v>
      </c>
      <c r="I319" s="42">
        <v>428960.5</v>
      </c>
      <c r="J319" s="42">
        <v>428960.5</v>
      </c>
      <c r="K319" s="37"/>
      <c r="L319" s="37"/>
      <c r="M319" s="59">
        <f t="shared" si="28"/>
        <v>428960.5</v>
      </c>
      <c r="N319" s="59">
        <v>428960.5</v>
      </c>
      <c r="O319" s="36"/>
      <c r="P319" s="42">
        <f t="shared" ref="P319:P378" si="29">M319</f>
        <v>428960.5</v>
      </c>
      <c r="Q319" s="59">
        <f t="shared" ref="Q319:Q402" si="30">N319</f>
        <v>428960.5</v>
      </c>
    </row>
    <row r="320" spans="1:17" ht="47.25" customHeight="1" x14ac:dyDescent="0.25">
      <c r="A320" s="9"/>
      <c r="B320" s="11" t="s">
        <v>2014</v>
      </c>
      <c r="C320" s="37" t="s">
        <v>763</v>
      </c>
      <c r="D320" s="38" t="s">
        <v>762</v>
      </c>
      <c r="E320" s="38"/>
      <c r="F320" s="72"/>
      <c r="G320" s="96" t="s">
        <v>138</v>
      </c>
      <c r="H320" s="97" t="s">
        <v>124</v>
      </c>
      <c r="I320" s="87">
        <v>178998.53</v>
      </c>
      <c r="J320" s="87">
        <v>178998.53</v>
      </c>
      <c r="K320" s="37"/>
      <c r="L320" s="37"/>
      <c r="M320" s="42">
        <f t="shared" si="28"/>
        <v>178998.53</v>
      </c>
      <c r="N320" s="42">
        <v>178998.53</v>
      </c>
      <c r="O320" s="36"/>
      <c r="P320" s="42">
        <f t="shared" si="29"/>
        <v>178998.53</v>
      </c>
      <c r="Q320" s="42">
        <f t="shared" si="30"/>
        <v>178998.53</v>
      </c>
    </row>
    <row r="321" spans="1:17" ht="47.25" customHeight="1" x14ac:dyDescent="0.25">
      <c r="A321" s="9"/>
      <c r="B321" s="11" t="s">
        <v>2015</v>
      </c>
      <c r="C321" s="37" t="s">
        <v>765</v>
      </c>
      <c r="D321" s="38" t="s">
        <v>764</v>
      </c>
      <c r="E321" s="38"/>
      <c r="F321" s="72"/>
      <c r="G321" s="40" t="s">
        <v>139</v>
      </c>
      <c r="H321" s="41" t="s">
        <v>145</v>
      </c>
      <c r="I321" s="42">
        <v>108696.94</v>
      </c>
      <c r="J321" s="42">
        <v>108696.94</v>
      </c>
      <c r="K321" s="37"/>
      <c r="L321" s="37"/>
      <c r="M321" s="42">
        <f t="shared" si="28"/>
        <v>108696.94</v>
      </c>
      <c r="N321" s="42">
        <v>108696.94</v>
      </c>
      <c r="O321" s="36"/>
      <c r="P321" s="42">
        <f t="shared" si="29"/>
        <v>108696.94</v>
      </c>
      <c r="Q321" s="42">
        <f t="shared" si="30"/>
        <v>108696.94</v>
      </c>
    </row>
    <row r="322" spans="1:17" ht="47.25" customHeight="1" x14ac:dyDescent="0.25">
      <c r="A322" s="9"/>
      <c r="B322" s="11" t="s">
        <v>2016</v>
      </c>
      <c r="C322" s="37" t="s">
        <v>573</v>
      </c>
      <c r="D322" s="38" t="s">
        <v>766</v>
      </c>
      <c r="E322" s="38"/>
      <c r="F322" s="72"/>
      <c r="G322" s="40" t="s">
        <v>140</v>
      </c>
      <c r="H322" s="41" t="s">
        <v>146</v>
      </c>
      <c r="I322" s="42">
        <v>248486.6</v>
      </c>
      <c r="J322" s="42">
        <v>248486.6</v>
      </c>
      <c r="K322" s="37"/>
      <c r="L322" s="37"/>
      <c r="M322" s="42">
        <f t="shared" si="28"/>
        <v>248486.6</v>
      </c>
      <c r="N322" s="42">
        <v>248486.6</v>
      </c>
      <c r="O322" s="36"/>
      <c r="P322" s="42">
        <f t="shared" si="29"/>
        <v>248486.6</v>
      </c>
      <c r="Q322" s="42">
        <f t="shared" si="30"/>
        <v>248486.6</v>
      </c>
    </row>
    <row r="323" spans="1:17" ht="47.25" customHeight="1" x14ac:dyDescent="0.25">
      <c r="A323" s="9"/>
      <c r="B323" s="11" t="s">
        <v>2017</v>
      </c>
      <c r="C323" s="37" t="s">
        <v>722</v>
      </c>
      <c r="D323" s="38" t="s">
        <v>767</v>
      </c>
      <c r="E323" s="38"/>
      <c r="F323" s="72"/>
      <c r="G323" s="96" t="s">
        <v>141</v>
      </c>
      <c r="H323" s="97" t="s">
        <v>110</v>
      </c>
      <c r="I323" s="87">
        <v>240204</v>
      </c>
      <c r="J323" s="87">
        <v>240204</v>
      </c>
      <c r="K323" s="37"/>
      <c r="L323" s="37"/>
      <c r="M323" s="42">
        <f t="shared" si="28"/>
        <v>240204</v>
      </c>
      <c r="N323" s="42">
        <v>240204</v>
      </c>
      <c r="O323" s="36"/>
      <c r="P323" s="42">
        <f t="shared" si="29"/>
        <v>240204</v>
      </c>
      <c r="Q323" s="42">
        <f t="shared" si="30"/>
        <v>240204</v>
      </c>
    </row>
    <row r="324" spans="1:17" ht="36.75" customHeight="1" x14ac:dyDescent="0.25">
      <c r="A324" s="9"/>
      <c r="B324" s="11" t="s">
        <v>2018</v>
      </c>
      <c r="C324" s="37" t="s">
        <v>768</v>
      </c>
      <c r="D324" s="38" t="s">
        <v>717</v>
      </c>
      <c r="E324" s="38"/>
      <c r="F324" s="72"/>
      <c r="G324" s="40" t="s">
        <v>159</v>
      </c>
      <c r="H324" s="41" t="s">
        <v>160</v>
      </c>
      <c r="I324" s="42">
        <v>153664</v>
      </c>
      <c r="J324" s="42">
        <v>153664</v>
      </c>
      <c r="K324" s="37"/>
      <c r="L324" s="37"/>
      <c r="M324" s="42">
        <f t="shared" si="28"/>
        <v>153664</v>
      </c>
      <c r="N324" s="42">
        <v>153664</v>
      </c>
      <c r="O324" s="36"/>
      <c r="P324" s="42">
        <f t="shared" si="29"/>
        <v>153664</v>
      </c>
      <c r="Q324" s="42">
        <f t="shared" si="30"/>
        <v>153664</v>
      </c>
    </row>
    <row r="325" spans="1:17" ht="36.75" customHeight="1" x14ac:dyDescent="0.25">
      <c r="A325" s="9"/>
      <c r="B325" s="11" t="s">
        <v>2018</v>
      </c>
      <c r="C325" s="37" t="s">
        <v>1776</v>
      </c>
      <c r="D325" s="38" t="s">
        <v>1777</v>
      </c>
      <c r="E325" s="38"/>
      <c r="F325" s="72"/>
      <c r="G325" s="40" t="s">
        <v>1778</v>
      </c>
      <c r="H325" s="41">
        <v>42577</v>
      </c>
      <c r="I325" s="42">
        <v>242372</v>
      </c>
      <c r="J325" s="42">
        <v>242372</v>
      </c>
      <c r="K325" s="37"/>
      <c r="L325" s="37"/>
      <c r="M325" s="42">
        <f t="shared" si="28"/>
        <v>242372</v>
      </c>
      <c r="N325" s="42">
        <v>242372</v>
      </c>
      <c r="O325" s="36"/>
      <c r="P325" s="42">
        <f t="shared" si="29"/>
        <v>242372</v>
      </c>
      <c r="Q325" s="42">
        <f t="shared" si="30"/>
        <v>242372</v>
      </c>
    </row>
    <row r="326" spans="1:17" ht="33" customHeight="1" x14ac:dyDescent="0.25">
      <c r="A326" s="9"/>
      <c r="B326" s="11" t="s">
        <v>2019</v>
      </c>
      <c r="C326" s="37" t="s">
        <v>770</v>
      </c>
      <c r="D326" s="38" t="s">
        <v>769</v>
      </c>
      <c r="E326" s="38"/>
      <c r="F326" s="72"/>
      <c r="G326" s="40" t="s">
        <v>161</v>
      </c>
      <c r="H326" s="41" t="s">
        <v>162</v>
      </c>
      <c r="I326" s="42">
        <v>2990432.7</v>
      </c>
      <c r="J326" s="42">
        <v>2990432.7</v>
      </c>
      <c r="K326" s="37"/>
      <c r="L326" s="37"/>
      <c r="M326" s="42">
        <f t="shared" si="28"/>
        <v>2990432.7</v>
      </c>
      <c r="N326" s="42">
        <v>2990432.7</v>
      </c>
      <c r="O326" s="36"/>
      <c r="P326" s="42">
        <f t="shared" si="29"/>
        <v>2990432.7</v>
      </c>
      <c r="Q326" s="42">
        <f t="shared" si="30"/>
        <v>2990432.7</v>
      </c>
    </row>
    <row r="327" spans="1:17" ht="71.25" customHeight="1" x14ac:dyDescent="0.25">
      <c r="A327" s="9"/>
      <c r="B327" s="11" t="s">
        <v>2020</v>
      </c>
      <c r="C327" s="37" t="s">
        <v>163</v>
      </c>
      <c r="D327" s="37" t="s">
        <v>163</v>
      </c>
      <c r="E327" s="38"/>
      <c r="F327" s="72"/>
      <c r="G327" s="96" t="s">
        <v>164</v>
      </c>
      <c r="H327" s="97" t="s">
        <v>165</v>
      </c>
      <c r="I327" s="87">
        <v>5000000</v>
      </c>
      <c r="J327" s="87">
        <v>5000000</v>
      </c>
      <c r="K327" s="37"/>
      <c r="L327" s="37"/>
      <c r="M327" s="42">
        <f t="shared" si="28"/>
        <v>5000000</v>
      </c>
      <c r="N327" s="42">
        <v>5000000</v>
      </c>
      <c r="O327" s="36"/>
      <c r="P327" s="42">
        <f t="shared" si="29"/>
        <v>5000000</v>
      </c>
      <c r="Q327" s="42">
        <f t="shared" si="30"/>
        <v>5000000</v>
      </c>
    </row>
    <row r="328" spans="1:17" ht="70.5" customHeight="1" x14ac:dyDescent="0.25">
      <c r="A328" s="9"/>
      <c r="B328" s="11" t="s">
        <v>2021</v>
      </c>
      <c r="C328" s="37" t="s">
        <v>772</v>
      </c>
      <c r="D328" s="38" t="s">
        <v>771</v>
      </c>
      <c r="E328" s="38"/>
      <c r="F328" s="72"/>
      <c r="G328" s="40" t="s">
        <v>166</v>
      </c>
      <c r="H328" s="41" t="s">
        <v>167</v>
      </c>
      <c r="I328" s="42">
        <v>6325000</v>
      </c>
      <c r="J328" s="42">
        <v>6325000</v>
      </c>
      <c r="K328" s="37"/>
      <c r="L328" s="37"/>
      <c r="M328" s="42">
        <f t="shared" si="28"/>
        <v>6325000</v>
      </c>
      <c r="N328" s="42">
        <v>6325000</v>
      </c>
      <c r="O328" s="36"/>
      <c r="P328" s="42">
        <f t="shared" si="29"/>
        <v>6325000</v>
      </c>
      <c r="Q328" s="42">
        <f t="shared" si="30"/>
        <v>6325000</v>
      </c>
    </row>
    <row r="329" spans="1:17" ht="43.5" customHeight="1" x14ac:dyDescent="0.25">
      <c r="A329" s="9"/>
      <c r="B329" s="11" t="s">
        <v>2022</v>
      </c>
      <c r="C329" s="37" t="s">
        <v>774</v>
      </c>
      <c r="D329" s="38" t="s">
        <v>773</v>
      </c>
      <c r="E329" s="38"/>
      <c r="F329" s="72"/>
      <c r="G329" s="40" t="s">
        <v>168</v>
      </c>
      <c r="H329" s="41" t="s">
        <v>169</v>
      </c>
      <c r="I329" s="42">
        <f>M329</f>
        <v>84742.338983050853</v>
      </c>
      <c r="J329" s="42">
        <v>99995.96</v>
      </c>
      <c r="K329" s="37"/>
      <c r="L329" s="37"/>
      <c r="M329" s="42">
        <f>P329</f>
        <v>84742.338983050853</v>
      </c>
      <c r="N329" s="42">
        <v>99995.96</v>
      </c>
      <c r="O329" s="36"/>
      <c r="P329" s="42">
        <f>Q329/1.18</f>
        <v>84742.338983050853</v>
      </c>
      <c r="Q329" s="42">
        <f t="shared" si="30"/>
        <v>99995.96</v>
      </c>
    </row>
    <row r="330" spans="1:17" ht="36.75" customHeight="1" x14ac:dyDescent="0.25">
      <c r="A330" s="9"/>
      <c r="B330" s="11" t="s">
        <v>2023</v>
      </c>
      <c r="C330" s="37" t="s">
        <v>775</v>
      </c>
      <c r="D330" s="38" t="s">
        <v>255</v>
      </c>
      <c r="E330" s="38"/>
      <c r="F330" s="72"/>
      <c r="G330" s="40" t="s">
        <v>178</v>
      </c>
      <c r="H330" s="41" t="s">
        <v>179</v>
      </c>
      <c r="I330" s="42">
        <v>200000</v>
      </c>
      <c r="J330" s="42">
        <v>200000</v>
      </c>
      <c r="K330" s="37"/>
      <c r="L330" s="37"/>
      <c r="M330" s="42">
        <f t="shared" si="28"/>
        <v>200000</v>
      </c>
      <c r="N330" s="42">
        <v>200000</v>
      </c>
      <c r="O330" s="36"/>
      <c r="P330" s="42">
        <f t="shared" si="29"/>
        <v>200000</v>
      </c>
      <c r="Q330" s="42">
        <f t="shared" si="30"/>
        <v>200000</v>
      </c>
    </row>
    <row r="331" spans="1:17" ht="30.75" customHeight="1" x14ac:dyDescent="0.25">
      <c r="A331" s="9"/>
      <c r="B331" s="11" t="s">
        <v>2024</v>
      </c>
      <c r="C331" s="37" t="s">
        <v>777</v>
      </c>
      <c r="D331" s="38" t="s">
        <v>776</v>
      </c>
      <c r="E331" s="38"/>
      <c r="F331" s="72"/>
      <c r="G331" s="40" t="s">
        <v>182</v>
      </c>
      <c r="H331" s="41" t="s">
        <v>191</v>
      </c>
      <c r="I331" s="42">
        <f>M331</f>
        <v>293695.08474576275</v>
      </c>
      <c r="J331" s="42">
        <v>346560.2</v>
      </c>
      <c r="K331" s="37"/>
      <c r="L331" s="37"/>
      <c r="M331" s="42">
        <f>P331</f>
        <v>293695.08474576275</v>
      </c>
      <c r="N331" s="42">
        <v>346560.2</v>
      </c>
      <c r="O331" s="36"/>
      <c r="P331" s="42">
        <f>Q331/1.18</f>
        <v>293695.08474576275</v>
      </c>
      <c r="Q331" s="42">
        <f t="shared" si="30"/>
        <v>346560.2</v>
      </c>
    </row>
    <row r="332" spans="1:17" ht="33.75" customHeight="1" x14ac:dyDescent="0.25">
      <c r="A332" s="9"/>
      <c r="B332" s="11" t="s">
        <v>2025</v>
      </c>
      <c r="C332" s="37" t="s">
        <v>180</v>
      </c>
      <c r="D332" s="37" t="s">
        <v>180</v>
      </c>
      <c r="E332" s="38"/>
      <c r="F332" s="72"/>
      <c r="G332" s="40" t="s">
        <v>183</v>
      </c>
      <c r="H332" s="41" t="s">
        <v>192</v>
      </c>
      <c r="I332" s="42">
        <f t="shared" ref="I332:I339" si="31">M332</f>
        <v>454495.93220338982</v>
      </c>
      <c r="J332" s="42">
        <v>536305.19999999995</v>
      </c>
      <c r="K332" s="37"/>
      <c r="L332" s="37"/>
      <c r="M332" s="42">
        <f t="shared" ref="M332:M339" si="32">P332</f>
        <v>454495.93220338982</v>
      </c>
      <c r="N332" s="42">
        <v>536305.19999999995</v>
      </c>
      <c r="O332" s="36"/>
      <c r="P332" s="42">
        <f t="shared" ref="P332:P339" si="33">Q332/1.18</f>
        <v>454495.93220338982</v>
      </c>
      <c r="Q332" s="42">
        <f t="shared" si="30"/>
        <v>536305.19999999995</v>
      </c>
    </row>
    <row r="333" spans="1:17" ht="27.75" customHeight="1" x14ac:dyDescent="0.25">
      <c r="A333" s="9"/>
      <c r="B333" s="11" t="s">
        <v>2026</v>
      </c>
      <c r="C333" s="37" t="s">
        <v>181</v>
      </c>
      <c r="D333" s="38" t="s">
        <v>713</v>
      </c>
      <c r="E333" s="38"/>
      <c r="F333" s="72"/>
      <c r="G333" s="96" t="s">
        <v>184</v>
      </c>
      <c r="H333" s="97" t="s">
        <v>193</v>
      </c>
      <c r="I333" s="87">
        <f t="shared" si="31"/>
        <v>30046.610169491527</v>
      </c>
      <c r="J333" s="87">
        <v>35455</v>
      </c>
      <c r="K333" s="37"/>
      <c r="L333" s="37"/>
      <c r="M333" s="42">
        <f t="shared" si="32"/>
        <v>30046.610169491527</v>
      </c>
      <c r="N333" s="42">
        <v>35455</v>
      </c>
      <c r="O333" s="36"/>
      <c r="P333" s="42">
        <f t="shared" si="33"/>
        <v>30046.610169491527</v>
      </c>
      <c r="Q333" s="42">
        <f t="shared" si="30"/>
        <v>35455</v>
      </c>
    </row>
    <row r="334" spans="1:17" ht="38.25" customHeight="1" x14ac:dyDescent="0.25">
      <c r="A334" s="9"/>
      <c r="B334" s="11" t="s">
        <v>2027</v>
      </c>
      <c r="C334" s="37" t="s">
        <v>778</v>
      </c>
      <c r="D334" s="38" t="s">
        <v>601</v>
      </c>
      <c r="E334" s="38"/>
      <c r="F334" s="72"/>
      <c r="G334" s="40" t="s">
        <v>185</v>
      </c>
      <c r="H334" s="41" t="s">
        <v>144</v>
      </c>
      <c r="I334" s="42">
        <f t="shared" si="31"/>
        <v>405615.25423728814</v>
      </c>
      <c r="J334" s="42">
        <v>478626</v>
      </c>
      <c r="K334" s="37"/>
      <c r="L334" s="37"/>
      <c r="M334" s="42">
        <f t="shared" si="32"/>
        <v>405615.25423728814</v>
      </c>
      <c r="N334" s="42">
        <v>478626</v>
      </c>
      <c r="O334" s="36"/>
      <c r="P334" s="42">
        <f t="shared" si="33"/>
        <v>405615.25423728814</v>
      </c>
      <c r="Q334" s="42">
        <f t="shared" si="30"/>
        <v>478626</v>
      </c>
    </row>
    <row r="335" spans="1:17" ht="33.75" customHeight="1" x14ac:dyDescent="0.25">
      <c r="A335" s="9"/>
      <c r="B335" s="11" t="s">
        <v>2028</v>
      </c>
      <c r="C335" s="37" t="s">
        <v>780</v>
      </c>
      <c r="D335" s="38" t="s">
        <v>779</v>
      </c>
      <c r="E335" s="38"/>
      <c r="F335" s="72"/>
      <c r="G335" s="40" t="s">
        <v>186</v>
      </c>
      <c r="H335" s="41" t="s">
        <v>194</v>
      </c>
      <c r="I335" s="42">
        <f t="shared" si="31"/>
        <v>468200.84745762713</v>
      </c>
      <c r="J335" s="42">
        <v>552477</v>
      </c>
      <c r="K335" s="37"/>
      <c r="L335" s="37"/>
      <c r="M335" s="42">
        <f t="shared" si="32"/>
        <v>468200.84745762713</v>
      </c>
      <c r="N335" s="42">
        <v>552477</v>
      </c>
      <c r="O335" s="36"/>
      <c r="P335" s="42">
        <f t="shared" si="33"/>
        <v>468200.84745762713</v>
      </c>
      <c r="Q335" s="42">
        <f t="shared" si="30"/>
        <v>552477</v>
      </c>
    </row>
    <row r="336" spans="1:17" ht="33.75" customHeight="1" x14ac:dyDescent="0.25">
      <c r="A336" s="9"/>
      <c r="B336" s="11" t="s">
        <v>2029</v>
      </c>
      <c r="C336" s="37" t="s">
        <v>781</v>
      </c>
      <c r="D336" s="38" t="s">
        <v>545</v>
      </c>
      <c r="E336" s="38"/>
      <c r="F336" s="72"/>
      <c r="G336" s="40" t="s">
        <v>187</v>
      </c>
      <c r="H336" s="41" t="s">
        <v>194</v>
      </c>
      <c r="I336" s="42">
        <f t="shared" si="31"/>
        <v>208213.88135593222</v>
      </c>
      <c r="J336" s="42">
        <v>245692.38</v>
      </c>
      <c r="K336" s="37"/>
      <c r="L336" s="37"/>
      <c r="M336" s="42">
        <f t="shared" si="32"/>
        <v>208213.88135593222</v>
      </c>
      <c r="N336" s="42">
        <v>245692.38</v>
      </c>
      <c r="O336" s="36"/>
      <c r="P336" s="42">
        <f t="shared" si="33"/>
        <v>208213.88135593222</v>
      </c>
      <c r="Q336" s="42">
        <f t="shared" si="30"/>
        <v>245692.38</v>
      </c>
    </row>
    <row r="337" spans="1:18" ht="64.5" customHeight="1" x14ac:dyDescent="0.25">
      <c r="A337" s="9"/>
      <c r="B337" s="11" t="s">
        <v>2030</v>
      </c>
      <c r="C337" s="37" t="s">
        <v>781</v>
      </c>
      <c r="D337" s="38" t="s">
        <v>144</v>
      </c>
      <c r="E337" s="38"/>
      <c r="F337" s="72"/>
      <c r="G337" s="40" t="s">
        <v>188</v>
      </c>
      <c r="H337" s="41" t="s">
        <v>195</v>
      </c>
      <c r="I337" s="42">
        <f t="shared" si="31"/>
        <v>208213.88135593222</v>
      </c>
      <c r="J337" s="42">
        <v>245692.38</v>
      </c>
      <c r="K337" s="37"/>
      <c r="L337" s="37"/>
      <c r="M337" s="42">
        <f t="shared" si="32"/>
        <v>208213.88135593222</v>
      </c>
      <c r="N337" s="42">
        <v>245692.38</v>
      </c>
      <c r="O337" s="36"/>
      <c r="P337" s="42">
        <f t="shared" si="33"/>
        <v>208213.88135593222</v>
      </c>
      <c r="Q337" s="42">
        <f t="shared" si="30"/>
        <v>245692.38</v>
      </c>
    </row>
    <row r="338" spans="1:18" ht="34.5" customHeight="1" x14ac:dyDescent="0.25">
      <c r="A338" s="9"/>
      <c r="B338" s="11" t="s">
        <v>2031</v>
      </c>
      <c r="C338" s="37" t="s">
        <v>782</v>
      </c>
      <c r="D338" s="38" t="s">
        <v>145</v>
      </c>
      <c r="E338" s="38"/>
      <c r="F338" s="72"/>
      <c r="G338" s="40" t="s">
        <v>189</v>
      </c>
      <c r="H338" s="41" t="s">
        <v>196</v>
      </c>
      <c r="I338" s="42">
        <f t="shared" si="31"/>
        <v>153916.10169491527</v>
      </c>
      <c r="J338" s="42">
        <v>181621</v>
      </c>
      <c r="K338" s="37"/>
      <c r="L338" s="37"/>
      <c r="M338" s="42">
        <f t="shared" si="32"/>
        <v>153916.10169491527</v>
      </c>
      <c r="N338" s="42">
        <v>181621</v>
      </c>
      <c r="O338" s="36"/>
      <c r="P338" s="42">
        <f>Q338/1.18</f>
        <v>153916.10169491527</v>
      </c>
      <c r="Q338" s="42">
        <f t="shared" si="30"/>
        <v>181621</v>
      </c>
    </row>
    <row r="339" spans="1:18" ht="37.5" customHeight="1" x14ac:dyDescent="0.25">
      <c r="A339" s="9"/>
      <c r="B339" s="11" t="s">
        <v>2032</v>
      </c>
      <c r="C339" s="37" t="s">
        <v>782</v>
      </c>
      <c r="D339" s="38" t="s">
        <v>145</v>
      </c>
      <c r="E339" s="38"/>
      <c r="F339" s="72"/>
      <c r="G339" s="40" t="s">
        <v>190</v>
      </c>
      <c r="H339" s="41" t="s">
        <v>160</v>
      </c>
      <c r="I339" s="42">
        <f t="shared" si="31"/>
        <v>57169.9406779661</v>
      </c>
      <c r="J339" s="42">
        <v>67460.53</v>
      </c>
      <c r="K339" s="37"/>
      <c r="L339" s="37"/>
      <c r="M339" s="42">
        <f t="shared" si="32"/>
        <v>57169.9406779661</v>
      </c>
      <c r="N339" s="42">
        <v>67460.53</v>
      </c>
      <c r="O339" s="36"/>
      <c r="P339" s="42">
        <f t="shared" si="33"/>
        <v>57169.9406779661</v>
      </c>
      <c r="Q339" s="42">
        <f t="shared" si="30"/>
        <v>67460.53</v>
      </c>
    </row>
    <row r="340" spans="1:18" s="69" customFormat="1" ht="32.25" customHeight="1" x14ac:dyDescent="0.25">
      <c r="A340" s="95"/>
      <c r="B340" s="80" t="s">
        <v>2033</v>
      </c>
      <c r="C340" s="72" t="s">
        <v>784</v>
      </c>
      <c r="D340" s="81" t="s">
        <v>783</v>
      </c>
      <c r="E340" s="81"/>
      <c r="F340" s="72"/>
      <c r="G340" s="108" t="s">
        <v>206</v>
      </c>
      <c r="H340" s="109" t="s">
        <v>207</v>
      </c>
      <c r="I340" s="82">
        <v>392617.54</v>
      </c>
      <c r="J340" s="82">
        <v>392617.54</v>
      </c>
      <c r="K340" s="72"/>
      <c r="L340" s="72"/>
      <c r="M340" s="82">
        <f t="shared" si="28"/>
        <v>392617.54</v>
      </c>
      <c r="N340" s="82">
        <v>392617.54</v>
      </c>
      <c r="O340" s="110"/>
      <c r="P340" s="82">
        <f t="shared" si="29"/>
        <v>392617.54</v>
      </c>
      <c r="Q340" s="82">
        <f t="shared" si="30"/>
        <v>392617.54</v>
      </c>
      <c r="R340" s="133" t="s">
        <v>2150</v>
      </c>
    </row>
    <row r="341" spans="1:18" ht="30.75" customHeight="1" x14ac:dyDescent="0.25">
      <c r="A341" s="9"/>
      <c r="B341" s="11" t="s">
        <v>2034</v>
      </c>
      <c r="C341" s="37" t="s">
        <v>786</v>
      </c>
      <c r="D341" s="38" t="s">
        <v>785</v>
      </c>
      <c r="E341" s="38"/>
      <c r="F341" s="72"/>
      <c r="G341" s="40" t="s">
        <v>212</v>
      </c>
      <c r="H341" s="41" t="s">
        <v>119</v>
      </c>
      <c r="I341" s="42">
        <v>214241.24</v>
      </c>
      <c r="J341" s="42">
        <v>214241.24</v>
      </c>
      <c r="K341" s="37"/>
      <c r="L341" s="37"/>
      <c r="M341" s="42">
        <f t="shared" si="28"/>
        <v>214241.24</v>
      </c>
      <c r="N341" s="42">
        <v>214241.24</v>
      </c>
      <c r="O341" s="36"/>
      <c r="P341" s="42">
        <f t="shared" si="29"/>
        <v>214241.24</v>
      </c>
      <c r="Q341" s="42">
        <f t="shared" si="30"/>
        <v>214241.24</v>
      </c>
    </row>
    <row r="342" spans="1:18" ht="47.25" customHeight="1" x14ac:dyDescent="0.25">
      <c r="A342" s="111"/>
      <c r="B342" s="450" t="s">
        <v>2035</v>
      </c>
      <c r="C342" s="397" t="s">
        <v>787</v>
      </c>
      <c r="D342" s="394" t="s">
        <v>617</v>
      </c>
      <c r="E342" s="113"/>
      <c r="F342" s="72"/>
      <c r="G342" s="96" t="s">
        <v>213</v>
      </c>
      <c r="H342" s="97" t="s">
        <v>202</v>
      </c>
      <c r="I342" s="87">
        <v>380403.3</v>
      </c>
      <c r="J342" s="87">
        <v>380403.3</v>
      </c>
      <c r="K342" s="37"/>
      <c r="L342" s="37"/>
      <c r="M342" s="42">
        <f t="shared" si="28"/>
        <v>380403.3</v>
      </c>
      <c r="N342" s="42">
        <v>380403.3</v>
      </c>
      <c r="O342" s="36"/>
      <c r="P342" s="42">
        <f t="shared" si="29"/>
        <v>380403.3</v>
      </c>
      <c r="Q342" s="42">
        <f t="shared" si="30"/>
        <v>380403.3</v>
      </c>
    </row>
    <row r="343" spans="1:18" ht="37.5" customHeight="1" x14ac:dyDescent="0.25">
      <c r="A343" s="9"/>
      <c r="B343" s="451"/>
      <c r="C343" s="399"/>
      <c r="D343" s="396"/>
      <c r="E343" s="38"/>
      <c r="F343" s="72"/>
      <c r="G343" s="40" t="s">
        <v>214</v>
      </c>
      <c r="H343" s="41" t="s">
        <v>215</v>
      </c>
      <c r="I343" s="42">
        <v>380403.3</v>
      </c>
      <c r="J343" s="42">
        <v>380403.3</v>
      </c>
      <c r="K343" s="37"/>
      <c r="L343" s="37"/>
      <c r="M343" s="42">
        <f t="shared" si="28"/>
        <v>380403.3</v>
      </c>
      <c r="N343" s="42">
        <v>380403.3</v>
      </c>
      <c r="O343" s="36"/>
      <c r="P343" s="42">
        <f t="shared" si="29"/>
        <v>380403.3</v>
      </c>
      <c r="Q343" s="42">
        <f t="shared" si="30"/>
        <v>380403.3</v>
      </c>
    </row>
    <row r="344" spans="1:18" ht="33.75" customHeight="1" x14ac:dyDescent="0.25">
      <c r="A344" s="9"/>
      <c r="B344" s="11" t="s">
        <v>2036</v>
      </c>
      <c r="C344" s="37" t="s">
        <v>789</v>
      </c>
      <c r="D344" s="38" t="s">
        <v>788</v>
      </c>
      <c r="E344" s="38"/>
      <c r="F344" s="72"/>
      <c r="G344" s="40" t="s">
        <v>216</v>
      </c>
      <c r="H344" s="41" t="s">
        <v>119</v>
      </c>
      <c r="I344" s="42">
        <v>54000</v>
      </c>
      <c r="J344" s="42">
        <v>54000</v>
      </c>
      <c r="K344" s="37"/>
      <c r="L344" s="37"/>
      <c r="M344" s="42">
        <f t="shared" si="28"/>
        <v>54000</v>
      </c>
      <c r="N344" s="42">
        <v>54000</v>
      </c>
      <c r="O344" s="36"/>
      <c r="P344" s="42">
        <f t="shared" si="29"/>
        <v>54000</v>
      </c>
      <c r="Q344" s="42">
        <f t="shared" si="30"/>
        <v>54000</v>
      </c>
    </row>
    <row r="345" spans="1:18" ht="25.5" customHeight="1" x14ac:dyDescent="0.25">
      <c r="A345" s="111"/>
      <c r="B345" s="450" t="s">
        <v>2140</v>
      </c>
      <c r="C345" s="397" t="s">
        <v>791</v>
      </c>
      <c r="D345" s="394" t="s">
        <v>790</v>
      </c>
      <c r="E345" s="394"/>
      <c r="F345" s="72"/>
      <c r="G345" s="40" t="s">
        <v>219</v>
      </c>
      <c r="H345" s="41" t="s">
        <v>221</v>
      </c>
      <c r="I345" s="42">
        <f>M345</f>
        <v>301016.94915254239</v>
      </c>
      <c r="J345" s="42">
        <v>355200</v>
      </c>
      <c r="K345" s="37"/>
      <c r="L345" s="37"/>
      <c r="M345" s="42">
        <f>P345</f>
        <v>301016.94915254239</v>
      </c>
      <c r="N345" s="42">
        <v>355200</v>
      </c>
      <c r="O345" s="36"/>
      <c r="P345" s="42">
        <f>Q345/1.18</f>
        <v>301016.94915254239</v>
      </c>
      <c r="Q345" s="42">
        <f t="shared" si="30"/>
        <v>355200</v>
      </c>
    </row>
    <row r="346" spans="1:18" ht="25.5" customHeight="1" x14ac:dyDescent="0.25">
      <c r="A346" s="111"/>
      <c r="B346" s="451"/>
      <c r="C346" s="399"/>
      <c r="D346" s="396"/>
      <c r="E346" s="396"/>
      <c r="F346" s="72"/>
      <c r="G346" s="40" t="s">
        <v>220</v>
      </c>
      <c r="H346" s="41" t="s">
        <v>221</v>
      </c>
      <c r="I346" s="42">
        <f>M346</f>
        <v>200677.96610169494</v>
      </c>
      <c r="J346" s="42">
        <v>236800</v>
      </c>
      <c r="K346" s="37"/>
      <c r="L346" s="37"/>
      <c r="M346" s="42">
        <f>P346</f>
        <v>200677.96610169494</v>
      </c>
      <c r="N346" s="42">
        <v>236800</v>
      </c>
      <c r="O346" s="36"/>
      <c r="P346" s="42">
        <f>Q346/1.18</f>
        <v>200677.96610169494</v>
      </c>
      <c r="Q346" s="42">
        <f t="shared" si="30"/>
        <v>236800</v>
      </c>
    </row>
    <row r="347" spans="1:18" ht="39.75" customHeight="1" x14ac:dyDescent="0.25">
      <c r="A347" s="9"/>
      <c r="B347" s="11" t="s">
        <v>2037</v>
      </c>
      <c r="C347" s="37" t="s">
        <v>792</v>
      </c>
      <c r="D347" s="38" t="s">
        <v>542</v>
      </c>
      <c r="E347" s="38"/>
      <c r="F347" s="72"/>
      <c r="G347" s="40" t="s">
        <v>222</v>
      </c>
      <c r="H347" s="41" t="s">
        <v>115</v>
      </c>
      <c r="I347" s="42">
        <f>M347</f>
        <v>29817.372881355936</v>
      </c>
      <c r="J347" s="42">
        <v>35184.5</v>
      </c>
      <c r="K347" s="37"/>
      <c r="L347" s="37"/>
      <c r="M347" s="42">
        <f>P347</f>
        <v>29817.372881355936</v>
      </c>
      <c r="N347" s="42">
        <v>35184.5</v>
      </c>
      <c r="O347" s="36"/>
      <c r="P347" s="42">
        <f>Q347/1.18</f>
        <v>29817.372881355936</v>
      </c>
      <c r="Q347" s="42">
        <f t="shared" si="30"/>
        <v>35184.5</v>
      </c>
    </row>
    <row r="348" spans="1:18" ht="34.5" customHeight="1" x14ac:dyDescent="0.25">
      <c r="A348" s="9"/>
      <c r="B348" s="11" t="s">
        <v>2037</v>
      </c>
      <c r="C348" s="37" t="s">
        <v>793</v>
      </c>
      <c r="D348" s="38" t="s">
        <v>115</v>
      </c>
      <c r="E348" s="38"/>
      <c r="F348" s="72"/>
      <c r="G348" s="40" t="s">
        <v>223</v>
      </c>
      <c r="H348" s="41" t="s">
        <v>116</v>
      </c>
      <c r="I348" s="42">
        <v>65662.8</v>
      </c>
      <c r="J348" s="42">
        <v>65662.8</v>
      </c>
      <c r="K348" s="37"/>
      <c r="L348" s="37"/>
      <c r="M348" s="42">
        <f t="shared" si="28"/>
        <v>65662.8</v>
      </c>
      <c r="N348" s="42">
        <v>65662.8</v>
      </c>
      <c r="O348" s="36"/>
      <c r="P348" s="42">
        <f t="shared" si="29"/>
        <v>65662.8</v>
      </c>
      <c r="Q348" s="42">
        <f t="shared" si="30"/>
        <v>65662.8</v>
      </c>
    </row>
    <row r="349" spans="1:18" ht="32.25" customHeight="1" x14ac:dyDescent="0.25">
      <c r="A349" s="9"/>
      <c r="B349" s="11" t="s">
        <v>2038</v>
      </c>
      <c r="C349" s="37" t="s">
        <v>795</v>
      </c>
      <c r="D349" s="38" t="s">
        <v>794</v>
      </c>
      <c r="E349" s="38"/>
      <c r="F349" s="72"/>
      <c r="G349" s="40">
        <v>3862</v>
      </c>
      <c r="H349" s="41" t="s">
        <v>229</v>
      </c>
      <c r="I349" s="42">
        <v>343879.18</v>
      </c>
      <c r="J349" s="42">
        <v>343879.18</v>
      </c>
      <c r="K349" s="37"/>
      <c r="L349" s="37"/>
      <c r="M349" s="42">
        <f t="shared" si="28"/>
        <v>343879.18</v>
      </c>
      <c r="N349" s="42">
        <v>343879.18</v>
      </c>
      <c r="O349" s="36"/>
      <c r="P349" s="42">
        <f t="shared" si="29"/>
        <v>343879.18</v>
      </c>
      <c r="Q349" s="42">
        <f t="shared" si="30"/>
        <v>343879.18</v>
      </c>
    </row>
    <row r="350" spans="1:18" ht="35.25" customHeight="1" x14ac:dyDescent="0.25">
      <c r="A350" s="9"/>
      <c r="B350" s="11" t="s">
        <v>2039</v>
      </c>
      <c r="C350" s="37" t="s">
        <v>797</v>
      </c>
      <c r="D350" s="38" t="s">
        <v>796</v>
      </c>
      <c r="E350" s="38"/>
      <c r="F350" s="72"/>
      <c r="G350" s="40" t="s">
        <v>230</v>
      </c>
      <c r="H350" s="41" t="s">
        <v>119</v>
      </c>
      <c r="I350" s="42">
        <v>500000</v>
      </c>
      <c r="J350" s="42">
        <v>500000</v>
      </c>
      <c r="K350" s="37"/>
      <c r="L350" s="37"/>
      <c r="M350" s="42">
        <f t="shared" si="28"/>
        <v>500000</v>
      </c>
      <c r="N350" s="42">
        <v>500000</v>
      </c>
      <c r="O350" s="36"/>
      <c r="P350" s="42">
        <f t="shared" si="29"/>
        <v>500000</v>
      </c>
      <c r="Q350" s="42">
        <f t="shared" si="30"/>
        <v>500000</v>
      </c>
    </row>
    <row r="351" spans="1:18" s="124" customFormat="1" ht="31.5" customHeight="1" x14ac:dyDescent="0.25">
      <c r="A351" s="115"/>
      <c r="B351" s="116" t="s">
        <v>2040</v>
      </c>
      <c r="C351" s="117">
        <v>105</v>
      </c>
      <c r="D351" s="118" t="s">
        <v>798</v>
      </c>
      <c r="E351" s="118"/>
      <c r="F351" s="119"/>
      <c r="G351" s="120" t="s">
        <v>231</v>
      </c>
      <c r="H351" s="121" t="s">
        <v>232</v>
      </c>
      <c r="I351" s="122">
        <v>500000</v>
      </c>
      <c r="J351" s="122">
        <v>500000</v>
      </c>
      <c r="K351" s="119"/>
      <c r="L351" s="119"/>
      <c r="M351" s="122">
        <f t="shared" si="28"/>
        <v>500000</v>
      </c>
      <c r="N351" s="122">
        <v>500000</v>
      </c>
      <c r="O351" s="123"/>
      <c r="P351" s="122">
        <f t="shared" si="29"/>
        <v>500000</v>
      </c>
      <c r="Q351" s="122">
        <f t="shared" si="30"/>
        <v>500000</v>
      </c>
      <c r="R351" s="133" t="s">
        <v>2150</v>
      </c>
    </row>
    <row r="352" spans="1:18" ht="33.75" customHeight="1" x14ac:dyDescent="0.25">
      <c r="A352" s="9"/>
      <c r="B352" s="11" t="s">
        <v>2041</v>
      </c>
      <c r="C352" s="37" t="s">
        <v>247</v>
      </c>
      <c r="D352" s="38" t="s">
        <v>799</v>
      </c>
      <c r="E352" s="38"/>
      <c r="F352" s="72"/>
      <c r="G352" s="40" t="s">
        <v>248</v>
      </c>
      <c r="H352" s="41" t="s">
        <v>119</v>
      </c>
      <c r="I352" s="42">
        <v>23109.02</v>
      </c>
      <c r="J352" s="42">
        <v>23109.02</v>
      </c>
      <c r="K352" s="37"/>
      <c r="L352" s="37"/>
      <c r="M352" s="42">
        <f t="shared" si="28"/>
        <v>23109.02</v>
      </c>
      <c r="N352" s="42">
        <v>23109.02</v>
      </c>
      <c r="O352" s="36"/>
      <c r="P352" s="42">
        <f t="shared" si="29"/>
        <v>23109.02</v>
      </c>
      <c r="Q352" s="42">
        <f t="shared" si="30"/>
        <v>23109.02</v>
      </c>
    </row>
    <row r="353" spans="1:17" ht="29.25" customHeight="1" x14ac:dyDescent="0.25">
      <c r="A353" s="114"/>
      <c r="B353" s="101" t="s">
        <v>2042</v>
      </c>
      <c r="C353" s="406">
        <v>28</v>
      </c>
      <c r="D353" s="408" t="s">
        <v>757</v>
      </c>
      <c r="E353" s="408" t="s">
        <v>2142</v>
      </c>
      <c r="F353" s="406"/>
      <c r="G353" s="40" t="s">
        <v>249</v>
      </c>
      <c r="H353" s="41" t="s">
        <v>255</v>
      </c>
      <c r="I353" s="42">
        <f>M353</f>
        <v>1991525.4237288137</v>
      </c>
      <c r="J353" s="42">
        <v>2350000</v>
      </c>
      <c r="K353" s="37" t="s">
        <v>2141</v>
      </c>
      <c r="L353" s="37"/>
      <c r="M353" s="42">
        <f>P353</f>
        <v>1991525.4237288137</v>
      </c>
      <c r="N353" s="42">
        <v>2350000</v>
      </c>
      <c r="O353" s="36"/>
      <c r="P353" s="42">
        <f>Q353/1.18</f>
        <v>1991525.4237288137</v>
      </c>
      <c r="Q353" s="42">
        <f t="shared" si="30"/>
        <v>2350000</v>
      </c>
    </row>
    <row r="354" spans="1:17" ht="18" customHeight="1" x14ac:dyDescent="0.25">
      <c r="A354" s="114"/>
      <c r="B354" s="101" t="s">
        <v>2043</v>
      </c>
      <c r="C354" s="440"/>
      <c r="D354" s="439"/>
      <c r="E354" s="439"/>
      <c r="F354" s="440"/>
      <c r="G354" s="40" t="s">
        <v>250</v>
      </c>
      <c r="H354" s="41" t="s">
        <v>256</v>
      </c>
      <c r="I354" s="42">
        <f t="shared" ref="I354:I369" si="34">M354</f>
        <v>1593220.338983051</v>
      </c>
      <c r="J354" s="42">
        <v>1880000</v>
      </c>
      <c r="K354" s="37"/>
      <c r="L354" s="37"/>
      <c r="M354" s="42">
        <f t="shared" ref="M354:M369" si="35">P354</f>
        <v>1593220.338983051</v>
      </c>
      <c r="N354" s="42">
        <v>1880000</v>
      </c>
      <c r="O354" s="36"/>
      <c r="P354" s="42">
        <f t="shared" ref="P354:P369" si="36">Q354/1.18</f>
        <v>1593220.338983051</v>
      </c>
      <c r="Q354" s="42">
        <f t="shared" si="30"/>
        <v>1880000</v>
      </c>
    </row>
    <row r="355" spans="1:17" ht="18" customHeight="1" x14ac:dyDescent="0.25">
      <c r="A355" s="114"/>
      <c r="B355" s="101" t="s">
        <v>2043</v>
      </c>
      <c r="C355" s="440"/>
      <c r="D355" s="439"/>
      <c r="E355" s="439"/>
      <c r="F355" s="440"/>
      <c r="G355" s="40" t="s">
        <v>251</v>
      </c>
      <c r="H355" s="41" t="s">
        <v>169</v>
      </c>
      <c r="I355" s="42">
        <f t="shared" si="34"/>
        <v>847457.62711864407</v>
      </c>
      <c r="J355" s="42">
        <v>1000000</v>
      </c>
      <c r="K355" s="37"/>
      <c r="L355" s="37"/>
      <c r="M355" s="42">
        <f t="shared" si="35"/>
        <v>847457.62711864407</v>
      </c>
      <c r="N355" s="42">
        <v>1000000</v>
      </c>
      <c r="O355" s="36"/>
      <c r="P355" s="42">
        <f t="shared" si="36"/>
        <v>847457.62711864407</v>
      </c>
      <c r="Q355" s="42">
        <f t="shared" si="30"/>
        <v>1000000</v>
      </c>
    </row>
    <row r="356" spans="1:17" ht="18" customHeight="1" x14ac:dyDescent="0.25">
      <c r="A356" s="114"/>
      <c r="B356" s="101" t="s">
        <v>2043</v>
      </c>
      <c r="C356" s="440"/>
      <c r="D356" s="439"/>
      <c r="E356" s="439"/>
      <c r="F356" s="440"/>
      <c r="G356" s="96" t="s">
        <v>252</v>
      </c>
      <c r="H356" s="97" t="s">
        <v>257</v>
      </c>
      <c r="I356" s="87">
        <f t="shared" si="34"/>
        <v>932203.3898305085</v>
      </c>
      <c r="J356" s="87">
        <v>1100000</v>
      </c>
      <c r="K356" s="37"/>
      <c r="L356" s="37"/>
      <c r="M356" s="42">
        <f t="shared" si="35"/>
        <v>932203.3898305085</v>
      </c>
      <c r="N356" s="42">
        <v>1100000</v>
      </c>
      <c r="O356" s="36"/>
      <c r="P356" s="42">
        <f t="shared" si="36"/>
        <v>932203.3898305085</v>
      </c>
      <c r="Q356" s="42">
        <f t="shared" si="30"/>
        <v>1100000</v>
      </c>
    </row>
    <row r="357" spans="1:17" ht="18" customHeight="1" x14ac:dyDescent="0.25">
      <c r="A357" s="114"/>
      <c r="B357" s="101" t="s">
        <v>2043</v>
      </c>
      <c r="C357" s="440"/>
      <c r="D357" s="439"/>
      <c r="E357" s="439"/>
      <c r="F357" s="440"/>
      <c r="G357" s="40" t="s">
        <v>253</v>
      </c>
      <c r="H357" s="41" t="s">
        <v>258</v>
      </c>
      <c r="I357" s="42">
        <f t="shared" si="34"/>
        <v>1867796.6101694917</v>
      </c>
      <c r="J357" s="42">
        <v>2204000</v>
      </c>
      <c r="K357" s="37"/>
      <c r="L357" s="37"/>
      <c r="M357" s="42">
        <f t="shared" si="35"/>
        <v>1867796.6101694917</v>
      </c>
      <c r="N357" s="42">
        <v>2204000</v>
      </c>
      <c r="O357" s="36"/>
      <c r="P357" s="42">
        <f t="shared" si="36"/>
        <v>1867796.6101694917</v>
      </c>
      <c r="Q357" s="42">
        <f t="shared" si="30"/>
        <v>2204000</v>
      </c>
    </row>
    <row r="358" spans="1:17" ht="18" customHeight="1" x14ac:dyDescent="0.25">
      <c r="A358" s="114"/>
      <c r="B358" s="101" t="s">
        <v>2043</v>
      </c>
      <c r="C358" s="440"/>
      <c r="D358" s="439"/>
      <c r="E358" s="439"/>
      <c r="F358" s="440"/>
      <c r="G358" s="40" t="s">
        <v>1811</v>
      </c>
      <c r="H358" s="41">
        <v>42825</v>
      </c>
      <c r="I358" s="42">
        <f t="shared" si="34"/>
        <v>84745.762711864416</v>
      </c>
      <c r="J358" s="42">
        <v>100000</v>
      </c>
      <c r="K358" s="37"/>
      <c r="L358" s="37"/>
      <c r="M358" s="42">
        <f t="shared" si="35"/>
        <v>84745.762711864416</v>
      </c>
      <c r="N358" s="42">
        <v>100000</v>
      </c>
      <c r="O358" s="36"/>
      <c r="P358" s="42">
        <f t="shared" si="36"/>
        <v>84745.762711864416</v>
      </c>
      <c r="Q358" s="42">
        <f t="shared" si="30"/>
        <v>100000</v>
      </c>
    </row>
    <row r="359" spans="1:17" ht="18" customHeight="1" x14ac:dyDescent="0.25">
      <c r="A359" s="114"/>
      <c r="B359" s="101" t="s">
        <v>2043</v>
      </c>
      <c r="C359" s="440"/>
      <c r="D359" s="439"/>
      <c r="E359" s="439"/>
      <c r="F359" s="440"/>
      <c r="G359" s="40" t="s">
        <v>1813</v>
      </c>
      <c r="H359" s="41">
        <v>42823</v>
      </c>
      <c r="I359" s="42">
        <f t="shared" si="34"/>
        <v>84745.762711864416</v>
      </c>
      <c r="J359" s="42">
        <v>100000</v>
      </c>
      <c r="K359" s="37"/>
      <c r="L359" s="37"/>
      <c r="M359" s="42">
        <f t="shared" si="35"/>
        <v>84745.762711864416</v>
      </c>
      <c r="N359" s="42">
        <v>100000</v>
      </c>
      <c r="O359" s="36"/>
      <c r="P359" s="42">
        <f t="shared" si="36"/>
        <v>84745.762711864416</v>
      </c>
      <c r="Q359" s="42">
        <f t="shared" si="30"/>
        <v>100000</v>
      </c>
    </row>
    <row r="360" spans="1:17" ht="18" customHeight="1" x14ac:dyDescent="0.25">
      <c r="A360" s="114"/>
      <c r="B360" s="101" t="s">
        <v>2043</v>
      </c>
      <c r="C360" s="440"/>
      <c r="D360" s="439"/>
      <c r="E360" s="439"/>
      <c r="F360" s="440"/>
      <c r="G360" s="40" t="s">
        <v>1814</v>
      </c>
      <c r="H360" s="41">
        <v>42822</v>
      </c>
      <c r="I360" s="42">
        <f t="shared" si="34"/>
        <v>169491.52542372883</v>
      </c>
      <c r="J360" s="42">
        <v>200000</v>
      </c>
      <c r="K360" s="37"/>
      <c r="L360" s="37"/>
      <c r="M360" s="42">
        <f t="shared" si="35"/>
        <v>169491.52542372883</v>
      </c>
      <c r="N360" s="42">
        <v>200000</v>
      </c>
      <c r="O360" s="36"/>
      <c r="P360" s="42">
        <f t="shared" si="36"/>
        <v>169491.52542372883</v>
      </c>
      <c r="Q360" s="42">
        <f t="shared" si="30"/>
        <v>200000</v>
      </c>
    </row>
    <row r="361" spans="1:17" ht="18" customHeight="1" x14ac:dyDescent="0.25">
      <c r="A361" s="114"/>
      <c r="B361" s="101" t="s">
        <v>2043</v>
      </c>
      <c r="C361" s="440"/>
      <c r="D361" s="439"/>
      <c r="E361" s="439"/>
      <c r="F361" s="440"/>
      <c r="G361" s="40" t="s">
        <v>1815</v>
      </c>
      <c r="H361" s="41">
        <v>42817</v>
      </c>
      <c r="I361" s="42">
        <f t="shared" si="34"/>
        <v>84745.762711864416</v>
      </c>
      <c r="J361" s="42">
        <v>100000</v>
      </c>
      <c r="K361" s="37"/>
      <c r="L361" s="37"/>
      <c r="M361" s="42">
        <f t="shared" si="35"/>
        <v>84745.762711864416</v>
      </c>
      <c r="N361" s="42">
        <v>100000</v>
      </c>
      <c r="O361" s="36"/>
      <c r="P361" s="42">
        <f t="shared" si="36"/>
        <v>84745.762711864416</v>
      </c>
      <c r="Q361" s="42">
        <f t="shared" si="30"/>
        <v>100000</v>
      </c>
    </row>
    <row r="362" spans="1:17" ht="18" customHeight="1" x14ac:dyDescent="0.25">
      <c r="A362" s="114"/>
      <c r="B362" s="101" t="s">
        <v>2043</v>
      </c>
      <c r="C362" s="440"/>
      <c r="D362" s="439"/>
      <c r="E362" s="439"/>
      <c r="F362" s="440"/>
      <c r="G362" s="40" t="s">
        <v>1812</v>
      </c>
      <c r="H362" s="41">
        <v>42824</v>
      </c>
      <c r="I362" s="42">
        <f t="shared" si="34"/>
        <v>169491.52542372883</v>
      </c>
      <c r="J362" s="42">
        <v>200000</v>
      </c>
      <c r="K362" s="37"/>
      <c r="L362" s="37"/>
      <c r="M362" s="42">
        <f t="shared" si="35"/>
        <v>169491.52542372883</v>
      </c>
      <c r="N362" s="42">
        <v>200000</v>
      </c>
      <c r="O362" s="36"/>
      <c r="P362" s="42">
        <f t="shared" si="36"/>
        <v>169491.52542372883</v>
      </c>
      <c r="Q362" s="42">
        <f t="shared" si="30"/>
        <v>200000</v>
      </c>
    </row>
    <row r="363" spans="1:17" ht="18" customHeight="1" x14ac:dyDescent="0.25">
      <c r="A363" s="114"/>
      <c r="B363" s="101" t="s">
        <v>2043</v>
      </c>
      <c r="C363" s="440"/>
      <c r="D363" s="439"/>
      <c r="E363" s="439"/>
      <c r="F363" s="440"/>
      <c r="G363" s="40" t="s">
        <v>1816</v>
      </c>
      <c r="H363" s="41">
        <v>42816</v>
      </c>
      <c r="I363" s="42">
        <f t="shared" si="34"/>
        <v>84745.762711864416</v>
      </c>
      <c r="J363" s="42">
        <v>100000</v>
      </c>
      <c r="K363" s="37"/>
      <c r="L363" s="37"/>
      <c r="M363" s="42">
        <f t="shared" si="35"/>
        <v>84745.762711864416</v>
      </c>
      <c r="N363" s="42">
        <v>100000</v>
      </c>
      <c r="O363" s="36"/>
      <c r="P363" s="42">
        <f t="shared" si="36"/>
        <v>84745.762711864416</v>
      </c>
      <c r="Q363" s="42">
        <f t="shared" si="30"/>
        <v>100000</v>
      </c>
    </row>
    <row r="364" spans="1:17" ht="18" customHeight="1" x14ac:dyDescent="0.25">
      <c r="A364" s="114"/>
      <c r="B364" s="101" t="s">
        <v>2043</v>
      </c>
      <c r="C364" s="440"/>
      <c r="D364" s="439"/>
      <c r="E364" s="439"/>
      <c r="F364" s="440"/>
      <c r="G364" s="40" t="s">
        <v>1817</v>
      </c>
      <c r="H364" s="41">
        <v>42815</v>
      </c>
      <c r="I364" s="42">
        <f t="shared" si="34"/>
        <v>169491.52542372883</v>
      </c>
      <c r="J364" s="42">
        <v>200000</v>
      </c>
      <c r="K364" s="37"/>
      <c r="L364" s="37"/>
      <c r="M364" s="42">
        <f t="shared" si="35"/>
        <v>169491.52542372883</v>
      </c>
      <c r="N364" s="42">
        <v>200000</v>
      </c>
      <c r="O364" s="36"/>
      <c r="P364" s="42">
        <f t="shared" si="36"/>
        <v>169491.52542372883</v>
      </c>
      <c r="Q364" s="42">
        <f t="shared" si="30"/>
        <v>200000</v>
      </c>
    </row>
    <row r="365" spans="1:17" ht="18" customHeight="1" x14ac:dyDescent="0.25">
      <c r="A365" s="114"/>
      <c r="B365" s="101" t="s">
        <v>2043</v>
      </c>
      <c r="C365" s="440"/>
      <c r="D365" s="439"/>
      <c r="E365" s="439"/>
      <c r="F365" s="440"/>
      <c r="G365" s="40" t="s">
        <v>1819</v>
      </c>
      <c r="H365" s="41">
        <v>42831</v>
      </c>
      <c r="I365" s="42">
        <f t="shared" si="34"/>
        <v>169491.52542372883</v>
      </c>
      <c r="J365" s="42">
        <v>200000</v>
      </c>
      <c r="K365" s="37"/>
      <c r="L365" s="37"/>
      <c r="M365" s="42">
        <f t="shared" si="35"/>
        <v>169491.52542372883</v>
      </c>
      <c r="N365" s="42">
        <v>200000</v>
      </c>
      <c r="O365" s="36"/>
      <c r="P365" s="42">
        <f t="shared" si="36"/>
        <v>169491.52542372883</v>
      </c>
      <c r="Q365" s="42">
        <f t="shared" si="30"/>
        <v>200000</v>
      </c>
    </row>
    <row r="366" spans="1:17" ht="18" customHeight="1" x14ac:dyDescent="0.25">
      <c r="A366" s="114"/>
      <c r="B366" s="101" t="s">
        <v>2043</v>
      </c>
      <c r="C366" s="440"/>
      <c r="D366" s="439"/>
      <c r="E366" s="439"/>
      <c r="F366" s="440"/>
      <c r="G366" s="40" t="s">
        <v>1821</v>
      </c>
      <c r="H366" s="41">
        <v>42828</v>
      </c>
      <c r="I366" s="42">
        <f t="shared" si="34"/>
        <v>169491.52542372883</v>
      </c>
      <c r="J366" s="42">
        <v>200000</v>
      </c>
      <c r="K366" s="37"/>
      <c r="L366" s="37"/>
      <c r="M366" s="42">
        <f t="shared" si="35"/>
        <v>169491.52542372883</v>
      </c>
      <c r="N366" s="42">
        <v>200000</v>
      </c>
      <c r="O366" s="36"/>
      <c r="P366" s="42">
        <f t="shared" si="36"/>
        <v>169491.52542372883</v>
      </c>
      <c r="Q366" s="42">
        <f t="shared" si="30"/>
        <v>200000</v>
      </c>
    </row>
    <row r="367" spans="1:17" ht="18" customHeight="1" x14ac:dyDescent="0.25">
      <c r="A367" s="114"/>
      <c r="B367" s="101" t="s">
        <v>2043</v>
      </c>
      <c r="C367" s="440"/>
      <c r="D367" s="439"/>
      <c r="E367" s="439"/>
      <c r="F367" s="440"/>
      <c r="G367" s="40" t="s">
        <v>1820</v>
      </c>
      <c r="H367" s="41">
        <v>42829</v>
      </c>
      <c r="I367" s="42">
        <f t="shared" si="34"/>
        <v>84745.762711864416</v>
      </c>
      <c r="J367" s="42">
        <v>100000</v>
      </c>
      <c r="K367" s="37"/>
      <c r="L367" s="37"/>
      <c r="M367" s="42">
        <f t="shared" si="35"/>
        <v>84745.762711864416</v>
      </c>
      <c r="N367" s="42">
        <v>100000</v>
      </c>
      <c r="O367" s="36"/>
      <c r="P367" s="42">
        <f t="shared" si="36"/>
        <v>84745.762711864416</v>
      </c>
      <c r="Q367" s="42">
        <f t="shared" si="30"/>
        <v>100000</v>
      </c>
    </row>
    <row r="368" spans="1:17" ht="18" customHeight="1" x14ac:dyDescent="0.25">
      <c r="A368" s="114"/>
      <c r="B368" s="101" t="s">
        <v>2043</v>
      </c>
      <c r="C368" s="440"/>
      <c r="D368" s="439"/>
      <c r="E368" s="439"/>
      <c r="F368" s="440"/>
      <c r="G368" s="40" t="s">
        <v>1818</v>
      </c>
      <c r="H368" s="41">
        <v>42809</v>
      </c>
      <c r="I368" s="42">
        <f t="shared" si="34"/>
        <v>296610.16949152545</v>
      </c>
      <c r="J368" s="42">
        <v>350000</v>
      </c>
      <c r="K368" s="37"/>
      <c r="L368" s="37"/>
      <c r="M368" s="42">
        <f t="shared" si="35"/>
        <v>296610.16949152545</v>
      </c>
      <c r="N368" s="42">
        <v>350000</v>
      </c>
      <c r="O368" s="36"/>
      <c r="P368" s="42">
        <f t="shared" si="36"/>
        <v>296610.16949152545</v>
      </c>
      <c r="Q368" s="42">
        <f t="shared" si="30"/>
        <v>350000</v>
      </c>
    </row>
    <row r="369" spans="1:17" ht="35.25" customHeight="1" x14ac:dyDescent="0.25">
      <c r="A369" s="114"/>
      <c r="B369" s="101" t="s">
        <v>2044</v>
      </c>
      <c r="C369" s="407"/>
      <c r="D369" s="409"/>
      <c r="E369" s="409"/>
      <c r="F369" s="407"/>
      <c r="G369" s="40" t="s">
        <v>254</v>
      </c>
      <c r="H369" s="41" t="s">
        <v>146</v>
      </c>
      <c r="I369" s="42">
        <f t="shared" si="34"/>
        <v>1200000</v>
      </c>
      <c r="J369" s="42">
        <v>1416000</v>
      </c>
      <c r="K369" s="37"/>
      <c r="L369" s="37"/>
      <c r="M369" s="42">
        <f t="shared" si="35"/>
        <v>1200000</v>
      </c>
      <c r="N369" s="42">
        <v>1416000</v>
      </c>
      <c r="O369" s="36"/>
      <c r="P369" s="42">
        <f t="shared" si="36"/>
        <v>1200000</v>
      </c>
      <c r="Q369" s="42">
        <f t="shared" si="30"/>
        <v>1416000</v>
      </c>
    </row>
    <row r="370" spans="1:17" ht="26.25" customHeight="1" x14ac:dyDescent="0.25">
      <c r="A370" s="9"/>
      <c r="B370" s="11" t="s">
        <v>2045</v>
      </c>
      <c r="C370" s="37" t="s">
        <v>800</v>
      </c>
      <c r="D370" s="38" t="s">
        <v>612</v>
      </c>
      <c r="E370" s="38"/>
      <c r="F370" s="72"/>
      <c r="G370" s="40" t="s">
        <v>259</v>
      </c>
      <c r="H370" s="41" t="s">
        <v>128</v>
      </c>
      <c r="I370" s="42">
        <v>31825.25</v>
      </c>
      <c r="J370" s="42">
        <v>37577.4</v>
      </c>
      <c r="K370" s="37"/>
      <c r="L370" s="37"/>
      <c r="M370" s="42">
        <v>31845.25</v>
      </c>
      <c r="N370" s="42">
        <v>37577.4</v>
      </c>
      <c r="O370" s="36"/>
      <c r="P370" s="42">
        <v>31845.25</v>
      </c>
      <c r="Q370" s="42">
        <f t="shared" si="30"/>
        <v>37577.4</v>
      </c>
    </row>
    <row r="371" spans="1:17" s="124" customFormat="1" ht="42" customHeight="1" x14ac:dyDescent="0.25">
      <c r="A371" s="115"/>
      <c r="B371" s="116" t="s">
        <v>2046</v>
      </c>
      <c r="C371" s="119" t="s">
        <v>802</v>
      </c>
      <c r="D371" s="118" t="s">
        <v>801</v>
      </c>
      <c r="E371" s="118"/>
      <c r="F371" s="119"/>
      <c r="G371" s="120" t="s">
        <v>260</v>
      </c>
      <c r="H371" s="121" t="s">
        <v>261</v>
      </c>
      <c r="I371" s="122">
        <f>M371</f>
        <v>3009543.7542372881</v>
      </c>
      <c r="J371" s="122">
        <v>3551261.63</v>
      </c>
      <c r="K371" s="119"/>
      <c r="L371" s="119"/>
      <c r="M371" s="122">
        <f>P371</f>
        <v>3009543.7542372881</v>
      </c>
      <c r="N371" s="122">
        <v>3551261.63</v>
      </c>
      <c r="O371" s="123"/>
      <c r="P371" s="122">
        <f>Q371/1.18</f>
        <v>3009543.7542372881</v>
      </c>
      <c r="Q371" s="122">
        <f t="shared" si="30"/>
        <v>3551261.63</v>
      </c>
    </row>
    <row r="372" spans="1:17" ht="60.75" customHeight="1" x14ac:dyDescent="0.25">
      <c r="A372" s="9"/>
      <c r="B372" s="11" t="s">
        <v>2047</v>
      </c>
      <c r="C372" s="37" t="s">
        <v>804</v>
      </c>
      <c r="D372" s="38" t="s">
        <v>803</v>
      </c>
      <c r="E372" s="38"/>
      <c r="F372" s="72"/>
      <c r="G372" s="40" t="s">
        <v>262</v>
      </c>
      <c r="H372" s="41" t="s">
        <v>179</v>
      </c>
      <c r="I372" s="42">
        <v>157399.01999999999</v>
      </c>
      <c r="J372" s="42">
        <v>157399.01999999999</v>
      </c>
      <c r="K372" s="37"/>
      <c r="L372" s="37"/>
      <c r="M372" s="42">
        <f t="shared" si="28"/>
        <v>157399.01999999999</v>
      </c>
      <c r="N372" s="42">
        <v>157399.01999999999</v>
      </c>
      <c r="O372" s="36"/>
      <c r="P372" s="42">
        <f t="shared" si="29"/>
        <v>157399.01999999999</v>
      </c>
      <c r="Q372" s="42">
        <f t="shared" si="30"/>
        <v>157399.01999999999</v>
      </c>
    </row>
    <row r="373" spans="1:17" s="124" customFormat="1" ht="28.5" customHeight="1" x14ac:dyDescent="0.25">
      <c r="A373" s="115"/>
      <c r="B373" s="116" t="s">
        <v>2048</v>
      </c>
      <c r="C373" s="119" t="s">
        <v>806</v>
      </c>
      <c r="D373" s="118" t="s">
        <v>805</v>
      </c>
      <c r="E373" s="118"/>
      <c r="F373" s="119"/>
      <c r="G373" s="120" t="s">
        <v>263</v>
      </c>
      <c r="H373" s="121" t="s">
        <v>265</v>
      </c>
      <c r="I373" s="122">
        <v>276358.95</v>
      </c>
      <c r="J373" s="122">
        <v>276358.95</v>
      </c>
      <c r="K373" s="119" t="s">
        <v>2143</v>
      </c>
      <c r="L373" s="119"/>
      <c r="M373" s="122">
        <f t="shared" si="28"/>
        <v>276358.95</v>
      </c>
      <c r="N373" s="122">
        <v>276358.95</v>
      </c>
      <c r="O373" s="123"/>
      <c r="P373" s="122">
        <f t="shared" si="29"/>
        <v>276358.95</v>
      </c>
      <c r="Q373" s="122">
        <f t="shared" si="30"/>
        <v>276358.95</v>
      </c>
    </row>
    <row r="374" spans="1:17" ht="44.25" customHeight="1" x14ac:dyDescent="0.25">
      <c r="A374" s="9"/>
      <c r="B374" s="11" t="s">
        <v>2049</v>
      </c>
      <c r="C374" s="37" t="s">
        <v>806</v>
      </c>
      <c r="D374" s="38" t="s">
        <v>805</v>
      </c>
      <c r="E374" s="38"/>
      <c r="F374" s="72"/>
      <c r="G374" s="40" t="s">
        <v>264</v>
      </c>
      <c r="H374" s="41" t="s">
        <v>169</v>
      </c>
      <c r="I374" s="42">
        <v>395391.45</v>
      </c>
      <c r="J374" s="42">
        <v>395391.45</v>
      </c>
      <c r="K374" s="37"/>
      <c r="L374" s="37"/>
      <c r="M374" s="42">
        <f t="shared" si="28"/>
        <v>395391.45</v>
      </c>
      <c r="N374" s="42">
        <v>395391.45</v>
      </c>
      <c r="O374" s="36"/>
      <c r="P374" s="42">
        <f t="shared" si="29"/>
        <v>395391.45</v>
      </c>
      <c r="Q374" s="42">
        <f t="shared" si="30"/>
        <v>395391.45</v>
      </c>
    </row>
    <row r="375" spans="1:17" ht="57.75" customHeight="1" x14ac:dyDescent="0.25">
      <c r="A375" s="111"/>
      <c r="B375" s="112" t="s">
        <v>2050</v>
      </c>
      <c r="C375" s="89" t="s">
        <v>808</v>
      </c>
      <c r="D375" s="113" t="s">
        <v>807</v>
      </c>
      <c r="E375" s="113"/>
      <c r="F375" s="89"/>
      <c r="G375" s="40" t="s">
        <v>267</v>
      </c>
      <c r="H375" s="41" t="s">
        <v>221</v>
      </c>
      <c r="I375" s="42">
        <f>M375</f>
        <v>237853.72033898308</v>
      </c>
      <c r="J375" s="42">
        <v>280667.39</v>
      </c>
      <c r="K375" s="37"/>
      <c r="L375" s="37"/>
      <c r="M375" s="42">
        <f>P375</f>
        <v>237853.72033898308</v>
      </c>
      <c r="N375" s="42">
        <v>280667.39</v>
      </c>
      <c r="O375" s="36"/>
      <c r="P375" s="42">
        <f>Q375/1.18</f>
        <v>237853.72033898308</v>
      </c>
      <c r="Q375" s="42">
        <f t="shared" si="30"/>
        <v>280667.39</v>
      </c>
    </row>
    <row r="376" spans="1:17" ht="33.75" customHeight="1" x14ac:dyDescent="0.25">
      <c r="A376" s="9"/>
      <c r="B376" s="11" t="s">
        <v>2051</v>
      </c>
      <c r="C376" s="37" t="s">
        <v>809</v>
      </c>
      <c r="D376" s="38" t="s">
        <v>533</v>
      </c>
      <c r="E376" s="38"/>
      <c r="F376" s="72"/>
      <c r="G376" s="40">
        <v>11919</v>
      </c>
      <c r="H376" s="41">
        <v>42543</v>
      </c>
      <c r="I376" s="42">
        <v>45643.86</v>
      </c>
      <c r="J376" s="42">
        <v>45643.86</v>
      </c>
      <c r="K376" s="37"/>
      <c r="L376" s="37"/>
      <c r="M376" s="42">
        <f t="shared" si="28"/>
        <v>45643.86</v>
      </c>
      <c r="N376" s="42">
        <v>45643.86</v>
      </c>
      <c r="O376" s="36"/>
      <c r="P376" s="42">
        <f t="shared" si="29"/>
        <v>45643.86</v>
      </c>
      <c r="Q376" s="42">
        <f t="shared" si="30"/>
        <v>45643.86</v>
      </c>
    </row>
    <row r="377" spans="1:17" ht="35.25" customHeight="1" x14ac:dyDescent="0.25">
      <c r="A377" s="9"/>
      <c r="B377" s="11" t="s">
        <v>2052</v>
      </c>
      <c r="C377" s="37" t="s">
        <v>293</v>
      </c>
      <c r="D377" s="38" t="s">
        <v>612</v>
      </c>
      <c r="E377" s="38"/>
      <c r="F377" s="72"/>
      <c r="G377" s="40" t="s">
        <v>294</v>
      </c>
      <c r="H377" s="41" t="s">
        <v>128</v>
      </c>
      <c r="I377" s="42">
        <v>46393.22</v>
      </c>
      <c r="J377" s="42">
        <v>54744</v>
      </c>
      <c r="K377" s="37"/>
      <c r="L377" s="37"/>
      <c r="M377" s="42">
        <v>46393.22</v>
      </c>
      <c r="N377" s="42">
        <v>54744</v>
      </c>
      <c r="O377" s="36"/>
      <c r="P377" s="42">
        <v>46393.22</v>
      </c>
      <c r="Q377" s="42">
        <f t="shared" si="30"/>
        <v>54744</v>
      </c>
    </row>
    <row r="378" spans="1:17" ht="35.25" customHeight="1" x14ac:dyDescent="0.25">
      <c r="A378" s="9"/>
      <c r="B378" s="11" t="s">
        <v>2053</v>
      </c>
      <c r="C378" s="37" t="s">
        <v>810</v>
      </c>
      <c r="D378" s="38" t="s">
        <v>119</v>
      </c>
      <c r="E378" s="38"/>
      <c r="F378" s="72"/>
      <c r="G378" s="40" t="s">
        <v>295</v>
      </c>
      <c r="H378" s="41" t="s">
        <v>179</v>
      </c>
      <c r="I378" s="42">
        <v>37702</v>
      </c>
      <c r="J378" s="42">
        <v>37702</v>
      </c>
      <c r="K378" s="37"/>
      <c r="L378" s="37"/>
      <c r="M378" s="42">
        <f t="shared" si="28"/>
        <v>37702</v>
      </c>
      <c r="N378" s="42">
        <v>37702</v>
      </c>
      <c r="O378" s="36"/>
      <c r="P378" s="42">
        <f t="shared" si="29"/>
        <v>37702</v>
      </c>
      <c r="Q378" s="42">
        <f t="shared" si="30"/>
        <v>37702</v>
      </c>
    </row>
    <row r="379" spans="1:17" ht="48" customHeight="1" x14ac:dyDescent="0.25">
      <c r="A379" s="9"/>
      <c r="B379" s="11" t="s">
        <v>2054</v>
      </c>
      <c r="C379" s="37" t="s">
        <v>811</v>
      </c>
      <c r="D379" s="38" t="s">
        <v>612</v>
      </c>
      <c r="E379" s="38"/>
      <c r="F379" s="72"/>
      <c r="G379" s="40" t="s">
        <v>299</v>
      </c>
      <c r="H379" s="41" t="s">
        <v>128</v>
      </c>
      <c r="I379" s="42">
        <v>54463.05</v>
      </c>
      <c r="J379" s="42">
        <v>64266.400000000001</v>
      </c>
      <c r="K379" s="37"/>
      <c r="L379" s="37"/>
      <c r="M379" s="42">
        <v>54463.05</v>
      </c>
      <c r="N379" s="42">
        <v>64266.400000000001</v>
      </c>
      <c r="O379" s="36"/>
      <c r="P379" s="42">
        <v>54463.05</v>
      </c>
      <c r="Q379" s="42">
        <f t="shared" si="30"/>
        <v>64266.400000000001</v>
      </c>
    </row>
    <row r="380" spans="1:17" ht="48" customHeight="1" x14ac:dyDescent="0.25">
      <c r="A380" s="9"/>
      <c r="B380" s="11" t="s">
        <v>1803</v>
      </c>
      <c r="C380" s="37" t="s">
        <v>1804</v>
      </c>
      <c r="D380" s="38" t="s">
        <v>1805</v>
      </c>
      <c r="E380" s="38"/>
      <c r="F380" s="72"/>
      <c r="G380" s="40" t="s">
        <v>1806</v>
      </c>
      <c r="H380" s="41">
        <v>42732</v>
      </c>
      <c r="I380" s="42">
        <f>M380</f>
        <v>119461.01694915254</v>
      </c>
      <c r="J380" s="42">
        <v>140964</v>
      </c>
      <c r="K380" s="37"/>
      <c r="L380" s="37"/>
      <c r="M380" s="42">
        <f>P380</f>
        <v>119461.01694915254</v>
      </c>
      <c r="N380" s="42">
        <v>140964</v>
      </c>
      <c r="O380" s="36"/>
      <c r="P380" s="42">
        <f>Q380/1.18</f>
        <v>119461.01694915254</v>
      </c>
      <c r="Q380" s="42">
        <f t="shared" si="30"/>
        <v>140964</v>
      </c>
    </row>
    <row r="381" spans="1:17" ht="48" customHeight="1" x14ac:dyDescent="0.25">
      <c r="A381" s="9"/>
      <c r="B381" s="11" t="s">
        <v>1803</v>
      </c>
      <c r="C381" s="37" t="s">
        <v>1807</v>
      </c>
      <c r="D381" s="38" t="s">
        <v>846</v>
      </c>
      <c r="E381" s="38"/>
      <c r="F381" s="72"/>
      <c r="G381" s="40" t="s">
        <v>1808</v>
      </c>
      <c r="H381" s="41">
        <v>42732</v>
      </c>
      <c r="I381" s="42">
        <f>M381</f>
        <v>136913.55932203389</v>
      </c>
      <c r="J381" s="42">
        <v>161558</v>
      </c>
      <c r="K381" s="37"/>
      <c r="L381" s="37"/>
      <c r="M381" s="42">
        <f>P381</f>
        <v>136913.55932203389</v>
      </c>
      <c r="N381" s="42">
        <v>161558</v>
      </c>
      <c r="O381" s="36"/>
      <c r="P381" s="42">
        <f>Q381/1.18</f>
        <v>136913.55932203389</v>
      </c>
      <c r="Q381" s="42">
        <f t="shared" si="30"/>
        <v>161558</v>
      </c>
    </row>
    <row r="382" spans="1:17" ht="48" customHeight="1" x14ac:dyDescent="0.25">
      <c r="A382" s="9"/>
      <c r="B382" s="11" t="s">
        <v>1803</v>
      </c>
      <c r="C382" s="37" t="s">
        <v>1809</v>
      </c>
      <c r="D382" s="38" t="s">
        <v>623</v>
      </c>
      <c r="E382" s="38"/>
      <c r="F382" s="72"/>
      <c r="G382" s="40" t="s">
        <v>1810</v>
      </c>
      <c r="H382" s="41">
        <v>42732</v>
      </c>
      <c r="I382" s="42">
        <f>M382</f>
        <v>117295.76271186442</v>
      </c>
      <c r="J382" s="42">
        <v>138409</v>
      </c>
      <c r="K382" s="37"/>
      <c r="L382" s="37"/>
      <c r="M382" s="42">
        <f>P382</f>
        <v>117295.76271186442</v>
      </c>
      <c r="N382" s="42">
        <v>138409</v>
      </c>
      <c r="O382" s="36"/>
      <c r="P382" s="42">
        <f>Q382/1.18</f>
        <v>117295.76271186442</v>
      </c>
      <c r="Q382" s="42">
        <f t="shared" si="30"/>
        <v>138409</v>
      </c>
    </row>
    <row r="383" spans="1:17" s="7" customFormat="1" ht="58.5" customHeight="1" x14ac:dyDescent="0.25">
      <c r="A383" s="114"/>
      <c r="B383" s="101" t="s">
        <v>2055</v>
      </c>
      <c r="C383" s="86" t="s">
        <v>812</v>
      </c>
      <c r="D383" s="102" t="s">
        <v>801</v>
      </c>
      <c r="E383" s="38"/>
      <c r="F383" s="37"/>
      <c r="G383" s="40" t="s">
        <v>301</v>
      </c>
      <c r="H383" s="41" t="s">
        <v>302</v>
      </c>
      <c r="I383" s="42">
        <f>M383</f>
        <v>1300923.8983050848</v>
      </c>
      <c r="J383" s="42">
        <v>1535090.2</v>
      </c>
      <c r="K383" s="37"/>
      <c r="L383" s="37"/>
      <c r="M383" s="42">
        <f>P383</f>
        <v>1300923.8983050848</v>
      </c>
      <c r="N383" s="42">
        <v>1535090.2</v>
      </c>
      <c r="O383" s="36"/>
      <c r="P383" s="42">
        <f>Q383/1.18</f>
        <v>1300923.8983050848</v>
      </c>
      <c r="Q383" s="42">
        <f t="shared" si="30"/>
        <v>1535090.2</v>
      </c>
    </row>
    <row r="384" spans="1:17" ht="33" customHeight="1" x14ac:dyDescent="0.25">
      <c r="A384" s="9"/>
      <c r="B384" s="11" t="s">
        <v>2056</v>
      </c>
      <c r="C384" s="37" t="s">
        <v>814</v>
      </c>
      <c r="D384" s="38" t="s">
        <v>813</v>
      </c>
      <c r="E384" s="38"/>
      <c r="F384" s="72"/>
      <c r="G384" s="96" t="s">
        <v>303</v>
      </c>
      <c r="H384" s="97" t="s">
        <v>128</v>
      </c>
      <c r="I384" s="87">
        <v>169491.53</v>
      </c>
      <c r="J384" s="87">
        <v>200000</v>
      </c>
      <c r="K384" s="37"/>
      <c r="L384" s="37"/>
      <c r="M384" s="42">
        <v>169491.53</v>
      </c>
      <c r="N384" s="42">
        <v>200000</v>
      </c>
      <c r="O384" s="36"/>
      <c r="P384" s="42">
        <v>169491.53</v>
      </c>
      <c r="Q384" s="42">
        <f t="shared" si="30"/>
        <v>200000</v>
      </c>
    </row>
    <row r="385" spans="1:17" ht="30.75" customHeight="1" x14ac:dyDescent="0.25">
      <c r="A385" s="9"/>
      <c r="B385" s="11" t="s">
        <v>2056</v>
      </c>
      <c r="C385" s="37" t="s">
        <v>814</v>
      </c>
      <c r="D385" s="38" t="s">
        <v>813</v>
      </c>
      <c r="E385" s="38"/>
      <c r="F385" s="72"/>
      <c r="G385" s="40" t="s">
        <v>304</v>
      </c>
      <c r="H385" s="41" t="s">
        <v>179</v>
      </c>
      <c r="I385" s="42">
        <v>84745.76</v>
      </c>
      <c r="J385" s="42">
        <v>100000</v>
      </c>
      <c r="K385" s="37"/>
      <c r="L385" s="37"/>
      <c r="M385" s="42">
        <v>84745.76</v>
      </c>
      <c r="N385" s="42">
        <v>100000</v>
      </c>
      <c r="O385" s="36"/>
      <c r="P385" s="42">
        <v>84745.76</v>
      </c>
      <c r="Q385" s="42">
        <f t="shared" si="30"/>
        <v>100000</v>
      </c>
    </row>
    <row r="386" spans="1:17" ht="39" customHeight="1" x14ac:dyDescent="0.25">
      <c r="A386" s="9"/>
      <c r="B386" s="11" t="s">
        <v>2057</v>
      </c>
      <c r="C386" s="37" t="s">
        <v>815</v>
      </c>
      <c r="D386" s="38" t="s">
        <v>673</v>
      </c>
      <c r="E386" s="38"/>
      <c r="F386" s="72"/>
      <c r="G386" s="96" t="s">
        <v>305</v>
      </c>
      <c r="H386" s="97" t="s">
        <v>128</v>
      </c>
      <c r="I386" s="87">
        <v>141286.5</v>
      </c>
      <c r="J386" s="87">
        <v>166718.07</v>
      </c>
      <c r="K386" s="37"/>
      <c r="L386" s="37"/>
      <c r="M386" s="42">
        <v>141286.5</v>
      </c>
      <c r="N386" s="42">
        <v>166718.07</v>
      </c>
      <c r="O386" s="36"/>
      <c r="P386" s="42">
        <v>141286.5</v>
      </c>
      <c r="Q386" s="42">
        <f t="shared" si="30"/>
        <v>166718.07</v>
      </c>
    </row>
    <row r="387" spans="1:17" ht="38.25" customHeight="1" x14ac:dyDescent="0.25">
      <c r="A387" s="114"/>
      <c r="B387" s="101" t="s">
        <v>2058</v>
      </c>
      <c r="C387" s="406" t="s">
        <v>817</v>
      </c>
      <c r="D387" s="408" t="s">
        <v>816</v>
      </c>
      <c r="E387" s="38"/>
      <c r="F387" s="72"/>
      <c r="G387" s="40" t="s">
        <v>306</v>
      </c>
      <c r="H387" s="41" t="s">
        <v>316</v>
      </c>
      <c r="I387" s="42">
        <f>M387</f>
        <v>194915.25423728814</v>
      </c>
      <c r="J387" s="42">
        <v>230000</v>
      </c>
      <c r="K387" s="37"/>
      <c r="L387" s="37"/>
      <c r="M387" s="42">
        <f>P387</f>
        <v>194915.25423728814</v>
      </c>
      <c r="N387" s="42">
        <v>230000</v>
      </c>
      <c r="O387" s="36"/>
      <c r="P387" s="42">
        <f>Q387/1.18</f>
        <v>194915.25423728814</v>
      </c>
      <c r="Q387" s="42">
        <f t="shared" si="30"/>
        <v>230000</v>
      </c>
    </row>
    <row r="388" spans="1:17" ht="37.5" customHeight="1" x14ac:dyDescent="0.25">
      <c r="A388" s="114"/>
      <c r="B388" s="101" t="s">
        <v>2059</v>
      </c>
      <c r="C388" s="440"/>
      <c r="D388" s="439"/>
      <c r="E388" s="38"/>
      <c r="F388" s="72"/>
      <c r="G388" s="40" t="s">
        <v>307</v>
      </c>
      <c r="H388" s="41" t="s">
        <v>317</v>
      </c>
      <c r="I388" s="42">
        <f t="shared" ref="I388:I401" si="37">M388</f>
        <v>194915.25423728814</v>
      </c>
      <c r="J388" s="42">
        <v>230000</v>
      </c>
      <c r="K388" s="37"/>
      <c r="L388" s="37"/>
      <c r="M388" s="42">
        <f t="shared" ref="M388:M401" si="38">P388</f>
        <v>194915.25423728814</v>
      </c>
      <c r="N388" s="42">
        <v>230000</v>
      </c>
      <c r="O388" s="36"/>
      <c r="P388" s="42">
        <f t="shared" ref="P388:P401" si="39">Q388/1.18</f>
        <v>194915.25423728814</v>
      </c>
      <c r="Q388" s="42">
        <f t="shared" si="30"/>
        <v>230000</v>
      </c>
    </row>
    <row r="389" spans="1:17" ht="37.5" customHeight="1" x14ac:dyDescent="0.25">
      <c r="A389" s="114"/>
      <c r="B389" s="101" t="s">
        <v>2060</v>
      </c>
      <c r="C389" s="440"/>
      <c r="D389" s="439"/>
      <c r="E389" s="38"/>
      <c r="F389" s="72"/>
      <c r="G389" s="40" t="s">
        <v>308</v>
      </c>
      <c r="H389" s="41" t="s">
        <v>115</v>
      </c>
      <c r="I389" s="42">
        <f t="shared" si="37"/>
        <v>169491.52542372883</v>
      </c>
      <c r="J389" s="42">
        <v>200000</v>
      </c>
      <c r="K389" s="37"/>
      <c r="L389" s="37"/>
      <c r="M389" s="42">
        <f t="shared" si="38"/>
        <v>169491.52542372883</v>
      </c>
      <c r="N389" s="42">
        <v>200000</v>
      </c>
      <c r="O389" s="36"/>
      <c r="P389" s="42">
        <f t="shared" si="39"/>
        <v>169491.52542372883</v>
      </c>
      <c r="Q389" s="42">
        <f t="shared" si="30"/>
        <v>200000</v>
      </c>
    </row>
    <row r="390" spans="1:17" ht="36.75" customHeight="1" x14ac:dyDescent="0.25">
      <c r="A390" s="114"/>
      <c r="B390" s="101" t="s">
        <v>2061</v>
      </c>
      <c r="C390" s="440"/>
      <c r="D390" s="439"/>
      <c r="E390" s="38"/>
      <c r="F390" s="72"/>
      <c r="G390" s="40" t="s">
        <v>309</v>
      </c>
      <c r="H390" s="41" t="s">
        <v>229</v>
      </c>
      <c r="I390" s="42">
        <f t="shared" si="37"/>
        <v>591525.42372881353</v>
      </c>
      <c r="J390" s="42">
        <v>698000</v>
      </c>
      <c r="K390" s="37"/>
      <c r="L390" s="37"/>
      <c r="M390" s="42">
        <f t="shared" si="38"/>
        <v>591525.42372881353</v>
      </c>
      <c r="N390" s="42">
        <v>698000</v>
      </c>
      <c r="O390" s="36"/>
      <c r="P390" s="42">
        <f t="shared" si="39"/>
        <v>591525.42372881353</v>
      </c>
      <c r="Q390" s="42">
        <f t="shared" si="30"/>
        <v>698000</v>
      </c>
    </row>
    <row r="391" spans="1:17" ht="36.75" customHeight="1" x14ac:dyDescent="0.25">
      <c r="A391" s="114"/>
      <c r="B391" s="101" t="s">
        <v>2061</v>
      </c>
      <c r="C391" s="440"/>
      <c r="D391" s="439"/>
      <c r="E391" s="38"/>
      <c r="F391" s="72"/>
      <c r="G391" s="40" t="s">
        <v>1765</v>
      </c>
      <c r="H391" s="41">
        <v>42488</v>
      </c>
      <c r="I391" s="42">
        <f t="shared" si="37"/>
        <v>169491.52542372883</v>
      </c>
      <c r="J391" s="42">
        <v>200000</v>
      </c>
      <c r="K391" s="37"/>
      <c r="L391" s="37"/>
      <c r="M391" s="42">
        <f t="shared" si="38"/>
        <v>169491.52542372883</v>
      </c>
      <c r="N391" s="42">
        <v>200000</v>
      </c>
      <c r="O391" s="36"/>
      <c r="P391" s="42">
        <f t="shared" si="39"/>
        <v>169491.52542372883</v>
      </c>
      <c r="Q391" s="42">
        <f t="shared" si="30"/>
        <v>200000</v>
      </c>
    </row>
    <row r="392" spans="1:17" ht="35.25" customHeight="1" x14ac:dyDescent="0.25">
      <c r="A392" s="114"/>
      <c r="B392" s="101" t="s">
        <v>2062</v>
      </c>
      <c r="C392" s="440"/>
      <c r="D392" s="439"/>
      <c r="E392" s="38"/>
      <c r="F392" s="72"/>
      <c r="G392" s="40" t="s">
        <v>310</v>
      </c>
      <c r="H392" s="41" t="s">
        <v>276</v>
      </c>
      <c r="I392" s="42">
        <f t="shared" si="37"/>
        <v>3294915.2542372881</v>
      </c>
      <c r="J392" s="42">
        <v>3888000</v>
      </c>
      <c r="K392" s="37"/>
      <c r="L392" s="37"/>
      <c r="M392" s="42">
        <f t="shared" si="38"/>
        <v>3294915.2542372881</v>
      </c>
      <c r="N392" s="42">
        <v>3888000</v>
      </c>
      <c r="O392" s="36"/>
      <c r="P392" s="42">
        <f t="shared" si="39"/>
        <v>3294915.2542372881</v>
      </c>
      <c r="Q392" s="42">
        <f t="shared" si="30"/>
        <v>3888000</v>
      </c>
    </row>
    <row r="393" spans="1:17" ht="35.25" customHeight="1" x14ac:dyDescent="0.25">
      <c r="A393" s="114"/>
      <c r="B393" s="101" t="s">
        <v>2062</v>
      </c>
      <c r="C393" s="440"/>
      <c r="D393" s="439"/>
      <c r="E393" s="38"/>
      <c r="F393" s="72"/>
      <c r="G393" s="40" t="s">
        <v>1767</v>
      </c>
      <c r="H393" s="41">
        <v>42515</v>
      </c>
      <c r="I393" s="42">
        <f t="shared" si="37"/>
        <v>147881.35593220338</v>
      </c>
      <c r="J393" s="42">
        <v>174500</v>
      </c>
      <c r="K393" s="37"/>
      <c r="L393" s="37"/>
      <c r="M393" s="42">
        <f t="shared" si="38"/>
        <v>147881.35593220338</v>
      </c>
      <c r="N393" s="42">
        <v>174500</v>
      </c>
      <c r="O393" s="36"/>
      <c r="P393" s="42">
        <f t="shared" si="39"/>
        <v>147881.35593220338</v>
      </c>
      <c r="Q393" s="42">
        <f t="shared" si="30"/>
        <v>174500</v>
      </c>
    </row>
    <row r="394" spans="1:17" ht="35.25" customHeight="1" x14ac:dyDescent="0.25">
      <c r="A394" s="114"/>
      <c r="B394" s="101" t="s">
        <v>2062</v>
      </c>
      <c r="C394" s="440"/>
      <c r="D394" s="439"/>
      <c r="E394" s="38"/>
      <c r="F394" s="72"/>
      <c r="G394" s="40" t="s">
        <v>1768</v>
      </c>
      <c r="H394" s="41">
        <v>42515</v>
      </c>
      <c r="I394" s="42">
        <f t="shared" si="37"/>
        <v>355932.20338983054</v>
      </c>
      <c r="J394" s="42">
        <v>420000</v>
      </c>
      <c r="K394" s="37"/>
      <c r="L394" s="37"/>
      <c r="M394" s="42">
        <f t="shared" si="38"/>
        <v>355932.20338983054</v>
      </c>
      <c r="N394" s="42">
        <v>420000</v>
      </c>
      <c r="O394" s="36"/>
      <c r="P394" s="42">
        <f t="shared" si="39"/>
        <v>355932.20338983054</v>
      </c>
      <c r="Q394" s="42">
        <f t="shared" si="30"/>
        <v>420000</v>
      </c>
    </row>
    <row r="395" spans="1:17" ht="35.25" customHeight="1" x14ac:dyDescent="0.25">
      <c r="A395" s="114"/>
      <c r="B395" s="101" t="s">
        <v>2062</v>
      </c>
      <c r="C395" s="440"/>
      <c r="D395" s="439"/>
      <c r="E395" s="38"/>
      <c r="F395" s="72"/>
      <c r="G395" s="40" t="s">
        <v>1769</v>
      </c>
      <c r="H395" s="41">
        <v>42515</v>
      </c>
      <c r="I395" s="42">
        <f t="shared" si="37"/>
        <v>125306.77966101696</v>
      </c>
      <c r="J395" s="42">
        <v>147862</v>
      </c>
      <c r="K395" s="37"/>
      <c r="L395" s="37"/>
      <c r="M395" s="42">
        <f t="shared" si="38"/>
        <v>125306.77966101696</v>
      </c>
      <c r="N395" s="42">
        <v>147862</v>
      </c>
      <c r="O395" s="36"/>
      <c r="P395" s="42">
        <f t="shared" si="39"/>
        <v>125306.77966101696</v>
      </c>
      <c r="Q395" s="42">
        <f t="shared" si="30"/>
        <v>147862</v>
      </c>
    </row>
    <row r="396" spans="1:17" ht="35.25" customHeight="1" x14ac:dyDescent="0.25">
      <c r="A396" s="114"/>
      <c r="B396" s="101" t="s">
        <v>2063</v>
      </c>
      <c r="C396" s="440"/>
      <c r="D396" s="439"/>
      <c r="E396" s="38"/>
      <c r="F396" s="72"/>
      <c r="G396" s="40" t="s">
        <v>311</v>
      </c>
      <c r="H396" s="41" t="s">
        <v>276</v>
      </c>
      <c r="I396" s="42">
        <f t="shared" si="37"/>
        <v>477661.49152542383</v>
      </c>
      <c r="J396" s="42">
        <v>563640.56000000006</v>
      </c>
      <c r="K396" s="37"/>
      <c r="L396" s="37"/>
      <c r="M396" s="42">
        <f t="shared" si="38"/>
        <v>477661.49152542383</v>
      </c>
      <c r="N396" s="42">
        <v>563640.56000000006</v>
      </c>
      <c r="O396" s="36"/>
      <c r="P396" s="42">
        <f t="shared" si="39"/>
        <v>477661.49152542383</v>
      </c>
      <c r="Q396" s="42">
        <f t="shared" si="30"/>
        <v>563640.56000000006</v>
      </c>
    </row>
    <row r="397" spans="1:17" ht="33" customHeight="1" x14ac:dyDescent="0.25">
      <c r="A397" s="114"/>
      <c r="B397" s="101" t="s">
        <v>2064</v>
      </c>
      <c r="C397" s="440"/>
      <c r="D397" s="439"/>
      <c r="E397" s="38"/>
      <c r="F397" s="72"/>
      <c r="G397" s="40" t="s">
        <v>312</v>
      </c>
      <c r="H397" s="41" t="s">
        <v>118</v>
      </c>
      <c r="I397" s="42">
        <f t="shared" si="37"/>
        <v>147881.35593220338</v>
      </c>
      <c r="J397" s="42">
        <v>174500</v>
      </c>
      <c r="K397" s="42"/>
      <c r="L397" s="42"/>
      <c r="M397" s="42">
        <f t="shared" si="38"/>
        <v>147881.35593220338</v>
      </c>
      <c r="N397" s="42">
        <v>174500</v>
      </c>
      <c r="O397" s="42"/>
      <c r="P397" s="42">
        <f t="shared" si="39"/>
        <v>147881.35593220338</v>
      </c>
      <c r="Q397" s="42">
        <f t="shared" si="30"/>
        <v>174500</v>
      </c>
    </row>
    <row r="398" spans="1:17" ht="29.25" customHeight="1" x14ac:dyDescent="0.25">
      <c r="A398" s="114"/>
      <c r="B398" s="101" t="s">
        <v>2065</v>
      </c>
      <c r="C398" s="440"/>
      <c r="D398" s="439"/>
      <c r="E398" s="38"/>
      <c r="F398" s="72"/>
      <c r="G398" s="40" t="s">
        <v>313</v>
      </c>
      <c r="H398" s="41" t="s">
        <v>256</v>
      </c>
      <c r="I398" s="42">
        <f t="shared" si="37"/>
        <v>2196610.1694915257</v>
      </c>
      <c r="J398" s="42">
        <v>2592000</v>
      </c>
      <c r="K398" s="42"/>
      <c r="L398" s="42"/>
      <c r="M398" s="42">
        <f t="shared" si="38"/>
        <v>2196610.1694915257</v>
      </c>
      <c r="N398" s="42">
        <v>2592000</v>
      </c>
      <c r="O398" s="42"/>
      <c r="P398" s="42">
        <f t="shared" si="39"/>
        <v>2196610.1694915257</v>
      </c>
      <c r="Q398" s="42">
        <f t="shared" si="30"/>
        <v>2592000</v>
      </c>
    </row>
    <row r="399" spans="1:17" ht="30" customHeight="1" x14ac:dyDescent="0.25">
      <c r="A399" s="114"/>
      <c r="B399" s="101" t="s">
        <v>2066</v>
      </c>
      <c r="C399" s="440"/>
      <c r="D399" s="439"/>
      <c r="E399" s="38"/>
      <c r="F399" s="72"/>
      <c r="G399" s="96" t="s">
        <v>314</v>
      </c>
      <c r="H399" s="97" t="s">
        <v>202</v>
      </c>
      <c r="I399" s="87">
        <f t="shared" si="37"/>
        <v>355932.20338983054</v>
      </c>
      <c r="J399" s="87">
        <v>420000</v>
      </c>
      <c r="K399" s="42"/>
      <c r="L399" s="42"/>
      <c r="M399" s="42">
        <f t="shared" si="38"/>
        <v>355932.20338983054</v>
      </c>
      <c r="N399" s="42">
        <v>420000</v>
      </c>
      <c r="O399" s="42"/>
      <c r="P399" s="42">
        <f t="shared" si="39"/>
        <v>355932.20338983054</v>
      </c>
      <c r="Q399" s="42">
        <f t="shared" si="30"/>
        <v>420000</v>
      </c>
    </row>
    <row r="400" spans="1:17" ht="30" customHeight="1" x14ac:dyDescent="0.25">
      <c r="A400" s="114"/>
      <c r="B400" s="101" t="s">
        <v>2066</v>
      </c>
      <c r="C400" s="440"/>
      <c r="D400" s="439"/>
      <c r="E400" s="38"/>
      <c r="F400" s="72"/>
      <c r="G400" s="96" t="s">
        <v>1762</v>
      </c>
      <c r="H400" s="97">
        <v>42585</v>
      </c>
      <c r="I400" s="87">
        <f t="shared" si="37"/>
        <v>237288.13559322036</v>
      </c>
      <c r="J400" s="87">
        <v>280000</v>
      </c>
      <c r="K400" s="42"/>
      <c r="L400" s="42"/>
      <c r="M400" s="42">
        <f t="shared" si="38"/>
        <v>237288.13559322036</v>
      </c>
      <c r="N400" s="42">
        <v>280000</v>
      </c>
      <c r="O400" s="42"/>
      <c r="P400" s="42">
        <f t="shared" si="39"/>
        <v>237288.13559322036</v>
      </c>
      <c r="Q400" s="42">
        <f t="shared" si="30"/>
        <v>280000</v>
      </c>
    </row>
    <row r="401" spans="1:17" ht="38.25" customHeight="1" x14ac:dyDescent="0.25">
      <c r="A401" s="114"/>
      <c r="B401" s="101" t="s">
        <v>2066</v>
      </c>
      <c r="C401" s="407"/>
      <c r="D401" s="409"/>
      <c r="E401" s="38"/>
      <c r="F401" s="72"/>
      <c r="G401" s="40" t="s">
        <v>315</v>
      </c>
      <c r="H401" s="41" t="s">
        <v>265</v>
      </c>
      <c r="I401" s="42">
        <f t="shared" si="37"/>
        <v>237288.13559322036</v>
      </c>
      <c r="J401" s="42">
        <v>280000</v>
      </c>
      <c r="K401" s="42"/>
      <c r="L401" s="42"/>
      <c r="M401" s="42">
        <f t="shared" si="38"/>
        <v>237288.13559322036</v>
      </c>
      <c r="N401" s="42">
        <v>280000</v>
      </c>
      <c r="O401" s="42"/>
      <c r="P401" s="42">
        <f t="shared" si="39"/>
        <v>237288.13559322036</v>
      </c>
      <c r="Q401" s="42">
        <f t="shared" si="30"/>
        <v>280000</v>
      </c>
    </row>
    <row r="402" spans="1:17" ht="25.5" customHeight="1" x14ac:dyDescent="0.25">
      <c r="A402" s="9"/>
      <c r="B402" s="11" t="s">
        <v>2067</v>
      </c>
      <c r="C402" s="416" t="s">
        <v>819</v>
      </c>
      <c r="D402" s="412" t="s">
        <v>818</v>
      </c>
      <c r="E402" s="38"/>
      <c r="F402" s="72"/>
      <c r="G402" s="40" t="s">
        <v>318</v>
      </c>
      <c r="H402" s="41" t="s">
        <v>128</v>
      </c>
      <c r="I402" s="42">
        <v>84745.76</v>
      </c>
      <c r="J402" s="42">
        <v>100000</v>
      </c>
      <c r="K402" s="42"/>
      <c r="L402" s="42"/>
      <c r="M402" s="42">
        <v>84745.76</v>
      </c>
      <c r="N402" s="42">
        <v>100000</v>
      </c>
      <c r="O402" s="42"/>
      <c r="P402" s="42">
        <v>84745.76</v>
      </c>
      <c r="Q402" s="42">
        <f t="shared" si="30"/>
        <v>100000</v>
      </c>
    </row>
    <row r="403" spans="1:17" ht="28.5" customHeight="1" x14ac:dyDescent="0.25">
      <c r="A403" s="9"/>
      <c r="B403" s="11" t="s">
        <v>2067</v>
      </c>
      <c r="C403" s="430"/>
      <c r="D403" s="413"/>
      <c r="E403" s="38"/>
      <c r="F403" s="72"/>
      <c r="G403" s="40" t="s">
        <v>319</v>
      </c>
      <c r="H403" s="41" t="s">
        <v>119</v>
      </c>
      <c r="I403" s="42">
        <v>84745.76</v>
      </c>
      <c r="J403" s="42">
        <v>100000</v>
      </c>
      <c r="K403" s="42"/>
      <c r="L403" s="42"/>
      <c r="M403" s="42">
        <v>84745.76</v>
      </c>
      <c r="N403" s="42">
        <v>100000</v>
      </c>
      <c r="O403" s="42"/>
      <c r="P403" s="42">
        <v>84745.76</v>
      </c>
      <c r="Q403" s="42">
        <f t="shared" ref="Q403:Q469" si="40">N403</f>
        <v>100000</v>
      </c>
    </row>
    <row r="404" spans="1:17" ht="30.75" customHeight="1" x14ac:dyDescent="0.25">
      <c r="A404" s="9"/>
      <c r="B404" s="11" t="s">
        <v>2067</v>
      </c>
      <c r="C404" s="417"/>
      <c r="D404" s="414"/>
      <c r="E404" s="38"/>
      <c r="F404" s="72"/>
      <c r="G404" s="40" t="s">
        <v>320</v>
      </c>
      <c r="H404" s="41" t="s">
        <v>179</v>
      </c>
      <c r="I404" s="42">
        <v>42372.88</v>
      </c>
      <c r="J404" s="42">
        <v>50000</v>
      </c>
      <c r="K404" s="42"/>
      <c r="L404" s="42"/>
      <c r="M404" s="42">
        <v>42372.88</v>
      </c>
      <c r="N404" s="42">
        <v>50000</v>
      </c>
      <c r="O404" s="42"/>
      <c r="P404" s="42">
        <v>42372.88</v>
      </c>
      <c r="Q404" s="42">
        <f t="shared" si="40"/>
        <v>50000</v>
      </c>
    </row>
    <row r="405" spans="1:17" ht="32.25" customHeight="1" x14ac:dyDescent="0.25">
      <c r="A405" s="9"/>
      <c r="B405" s="11" t="s">
        <v>2068</v>
      </c>
      <c r="C405" s="37" t="s">
        <v>820</v>
      </c>
      <c r="D405" s="38" t="s">
        <v>799</v>
      </c>
      <c r="E405" s="38"/>
      <c r="F405" s="72"/>
      <c r="G405" s="40" t="s">
        <v>332</v>
      </c>
      <c r="H405" s="41" t="s">
        <v>119</v>
      </c>
      <c r="I405" s="42">
        <v>128819.18</v>
      </c>
      <c r="J405" s="42">
        <v>128819.18</v>
      </c>
      <c r="K405" s="42"/>
      <c r="L405" s="42"/>
      <c r="M405" s="42">
        <f t="shared" ref="M405:M453" si="41">J405</f>
        <v>128819.18</v>
      </c>
      <c r="N405" s="42">
        <v>128819.18</v>
      </c>
      <c r="O405" s="42"/>
      <c r="P405" s="42">
        <f t="shared" ref="P405:P469" si="42">M405</f>
        <v>128819.18</v>
      </c>
      <c r="Q405" s="42">
        <f t="shared" si="40"/>
        <v>128819.18</v>
      </c>
    </row>
    <row r="406" spans="1:17" ht="43.5" customHeight="1" x14ac:dyDescent="0.25">
      <c r="A406" s="9"/>
      <c r="B406" s="11" t="s">
        <v>2069</v>
      </c>
      <c r="C406" s="37" t="s">
        <v>822</v>
      </c>
      <c r="D406" s="38" t="s">
        <v>821</v>
      </c>
      <c r="E406" s="38"/>
      <c r="F406" s="72"/>
      <c r="G406" s="96" t="s">
        <v>341</v>
      </c>
      <c r="H406" s="97" t="s">
        <v>203</v>
      </c>
      <c r="I406" s="87">
        <v>143987.98000000001</v>
      </c>
      <c r="J406" s="87">
        <v>143987.98000000001</v>
      </c>
      <c r="K406" s="42"/>
      <c r="L406" s="42"/>
      <c r="M406" s="42">
        <f t="shared" si="41"/>
        <v>143987.98000000001</v>
      </c>
      <c r="N406" s="42">
        <v>143987.98000000001</v>
      </c>
      <c r="O406" s="42"/>
      <c r="P406" s="42">
        <f t="shared" si="42"/>
        <v>143987.98000000001</v>
      </c>
      <c r="Q406" s="42">
        <f t="shared" si="40"/>
        <v>143987.98000000001</v>
      </c>
    </row>
    <row r="407" spans="1:17" ht="39" customHeight="1" x14ac:dyDescent="0.25">
      <c r="A407" s="111"/>
      <c r="B407" s="112" t="s">
        <v>2070</v>
      </c>
      <c r="C407" s="89" t="s">
        <v>824</v>
      </c>
      <c r="D407" s="113" t="s">
        <v>823</v>
      </c>
      <c r="E407" s="113"/>
      <c r="F407" s="72"/>
      <c r="G407" s="40" t="s">
        <v>342</v>
      </c>
      <c r="H407" s="41" t="s">
        <v>221</v>
      </c>
      <c r="I407" s="42">
        <f>M407</f>
        <v>364406.77966101695</v>
      </c>
      <c r="J407" s="42">
        <v>430000</v>
      </c>
      <c r="K407" s="42"/>
      <c r="L407" s="42"/>
      <c r="M407" s="42">
        <f>P407</f>
        <v>364406.77966101695</v>
      </c>
      <c r="N407" s="42">
        <v>430000</v>
      </c>
      <c r="O407" s="42"/>
      <c r="P407" s="42">
        <f>Q407/1.18</f>
        <v>364406.77966101695</v>
      </c>
      <c r="Q407" s="42">
        <f t="shared" si="40"/>
        <v>430000</v>
      </c>
    </row>
    <row r="408" spans="1:17" ht="36" customHeight="1" x14ac:dyDescent="0.25">
      <c r="A408" s="111"/>
      <c r="B408" s="112" t="s">
        <v>2070</v>
      </c>
      <c r="C408" s="89" t="s">
        <v>824</v>
      </c>
      <c r="D408" s="113" t="s">
        <v>823</v>
      </c>
      <c r="E408" s="113"/>
      <c r="F408" s="72"/>
      <c r="G408" s="40" t="s">
        <v>343</v>
      </c>
      <c r="H408" s="41" t="s">
        <v>274</v>
      </c>
      <c r="I408" s="42">
        <f>M408</f>
        <v>1003389.8305084746</v>
      </c>
      <c r="J408" s="42">
        <v>1184000</v>
      </c>
      <c r="K408" s="42"/>
      <c r="L408" s="42"/>
      <c r="M408" s="42">
        <f>P408</f>
        <v>1003389.8305084746</v>
      </c>
      <c r="N408" s="42">
        <v>1184000</v>
      </c>
      <c r="O408" s="42"/>
      <c r="P408" s="42">
        <f>Q408/1.18</f>
        <v>1003389.8305084746</v>
      </c>
      <c r="Q408" s="42">
        <f t="shared" si="40"/>
        <v>1184000</v>
      </c>
    </row>
    <row r="409" spans="1:17" ht="39.75" customHeight="1" x14ac:dyDescent="0.25">
      <c r="A409" s="9"/>
      <c r="B409" s="11" t="s">
        <v>2071</v>
      </c>
      <c r="C409" s="37" t="s">
        <v>825</v>
      </c>
      <c r="D409" s="38" t="s">
        <v>229</v>
      </c>
      <c r="E409" s="38"/>
      <c r="F409" s="72"/>
      <c r="G409" s="40" t="s">
        <v>348</v>
      </c>
      <c r="H409" s="41" t="s">
        <v>128</v>
      </c>
      <c r="I409" s="42">
        <v>53627.12</v>
      </c>
      <c r="J409" s="42">
        <v>63280</v>
      </c>
      <c r="K409" s="42"/>
      <c r="L409" s="42"/>
      <c r="M409" s="42">
        <v>53627.12</v>
      </c>
      <c r="N409" s="42">
        <v>63280</v>
      </c>
      <c r="O409" s="42"/>
      <c r="P409" s="42">
        <v>53627.12</v>
      </c>
      <c r="Q409" s="42">
        <f t="shared" si="40"/>
        <v>63280</v>
      </c>
    </row>
    <row r="410" spans="1:17" ht="32.25" customHeight="1" x14ac:dyDescent="0.25">
      <c r="A410" s="9"/>
      <c r="B410" s="11" t="s">
        <v>2072</v>
      </c>
      <c r="C410" s="37" t="s">
        <v>827</v>
      </c>
      <c r="D410" s="38" t="s">
        <v>826</v>
      </c>
      <c r="E410" s="38"/>
      <c r="F410" s="72"/>
      <c r="G410" s="96" t="s">
        <v>349</v>
      </c>
      <c r="H410" s="97" t="s">
        <v>128</v>
      </c>
      <c r="I410" s="87">
        <v>25983.05</v>
      </c>
      <c r="J410" s="87">
        <v>30660</v>
      </c>
      <c r="K410" s="42"/>
      <c r="L410" s="42"/>
      <c r="M410" s="42">
        <v>25983.05</v>
      </c>
      <c r="N410" s="42">
        <v>30660</v>
      </c>
      <c r="O410" s="42"/>
      <c r="P410" s="42">
        <v>25983.05</v>
      </c>
      <c r="Q410" s="42">
        <f t="shared" si="40"/>
        <v>30660</v>
      </c>
    </row>
    <row r="411" spans="1:17" ht="33" customHeight="1" x14ac:dyDescent="0.25">
      <c r="A411" s="9"/>
      <c r="B411" s="11" t="s">
        <v>2073</v>
      </c>
      <c r="C411" s="34">
        <v>5</v>
      </c>
      <c r="D411" s="38" t="s">
        <v>828</v>
      </c>
      <c r="E411" s="38"/>
      <c r="F411" s="72"/>
      <c r="G411" s="40" t="s">
        <v>362</v>
      </c>
      <c r="H411" s="41" t="s">
        <v>119</v>
      </c>
      <c r="I411" s="42">
        <v>1200000</v>
      </c>
      <c r="J411" s="42">
        <v>1200000</v>
      </c>
      <c r="K411" s="42"/>
      <c r="L411" s="42"/>
      <c r="M411" s="42">
        <f t="shared" si="41"/>
        <v>1200000</v>
      </c>
      <c r="N411" s="42">
        <v>1200000</v>
      </c>
      <c r="O411" s="42"/>
      <c r="P411" s="42">
        <f t="shared" si="42"/>
        <v>1200000</v>
      </c>
      <c r="Q411" s="42">
        <f t="shared" si="40"/>
        <v>1200000</v>
      </c>
    </row>
    <row r="412" spans="1:17" ht="33.75" customHeight="1" x14ac:dyDescent="0.25">
      <c r="A412" s="9"/>
      <c r="B412" s="11" t="s">
        <v>2074</v>
      </c>
      <c r="C412" s="37" t="s">
        <v>829</v>
      </c>
      <c r="D412" s="38" t="s">
        <v>751</v>
      </c>
      <c r="E412" s="38"/>
      <c r="F412" s="72"/>
      <c r="G412" s="40" t="s">
        <v>391</v>
      </c>
      <c r="H412" s="41" t="s">
        <v>128</v>
      </c>
      <c r="I412" s="42">
        <v>84745.76</v>
      </c>
      <c r="J412" s="42">
        <v>100000</v>
      </c>
      <c r="K412" s="42"/>
      <c r="L412" s="42"/>
      <c r="M412" s="42">
        <v>84745.76</v>
      </c>
      <c r="N412" s="42">
        <v>100000</v>
      </c>
      <c r="O412" s="42"/>
      <c r="P412" s="42">
        <v>84745.76</v>
      </c>
      <c r="Q412" s="42">
        <f t="shared" si="40"/>
        <v>100000</v>
      </c>
    </row>
    <row r="413" spans="1:17" s="69" customFormat="1" ht="58.5" customHeight="1" x14ac:dyDescent="0.25">
      <c r="A413" s="95"/>
      <c r="B413" s="80" t="s">
        <v>2075</v>
      </c>
      <c r="C413" s="72" t="s">
        <v>831</v>
      </c>
      <c r="D413" s="81" t="s">
        <v>830</v>
      </c>
      <c r="E413" s="81"/>
      <c r="F413" s="72"/>
      <c r="G413" s="108" t="s">
        <v>392</v>
      </c>
      <c r="H413" s="109" t="s">
        <v>117</v>
      </c>
      <c r="I413" s="82">
        <f>M413</f>
        <v>379661.01694915257</v>
      </c>
      <c r="J413" s="82">
        <v>448000</v>
      </c>
      <c r="K413" s="82"/>
      <c r="L413" s="82"/>
      <c r="M413" s="82">
        <f>P413</f>
        <v>379661.01694915257</v>
      </c>
      <c r="N413" s="82">
        <v>448000</v>
      </c>
      <c r="O413" s="82"/>
      <c r="P413" s="82">
        <f>Q413/1.18</f>
        <v>379661.01694915257</v>
      </c>
      <c r="Q413" s="82">
        <f t="shared" si="40"/>
        <v>448000</v>
      </c>
    </row>
    <row r="414" spans="1:17" s="69" customFormat="1" ht="60" customHeight="1" x14ac:dyDescent="0.25">
      <c r="A414" s="95"/>
      <c r="B414" s="80" t="s">
        <v>2076</v>
      </c>
      <c r="C414" s="72" t="s">
        <v>832</v>
      </c>
      <c r="D414" s="81" t="s">
        <v>229</v>
      </c>
      <c r="E414" s="81"/>
      <c r="F414" s="72"/>
      <c r="G414" s="108" t="s">
        <v>393</v>
      </c>
      <c r="H414" s="109" t="s">
        <v>394</v>
      </c>
      <c r="I414" s="82">
        <v>115800</v>
      </c>
      <c r="J414" s="82">
        <v>115800</v>
      </c>
      <c r="K414" s="82"/>
      <c r="L414" s="82"/>
      <c r="M414" s="82">
        <f t="shared" si="41"/>
        <v>115800</v>
      </c>
      <c r="N414" s="82">
        <v>115800</v>
      </c>
      <c r="O414" s="82"/>
      <c r="P414" s="82">
        <f t="shared" si="42"/>
        <v>115800</v>
      </c>
      <c r="Q414" s="82">
        <f t="shared" si="40"/>
        <v>115800</v>
      </c>
    </row>
    <row r="415" spans="1:17" ht="52.5" customHeight="1" x14ac:dyDescent="0.25">
      <c r="A415" s="9"/>
      <c r="B415" s="11" t="s">
        <v>2077</v>
      </c>
      <c r="C415" s="37" t="s">
        <v>834</v>
      </c>
      <c r="D415" s="38" t="s">
        <v>833</v>
      </c>
      <c r="E415" s="38"/>
      <c r="F415" s="72"/>
      <c r="G415" s="40" t="s">
        <v>395</v>
      </c>
      <c r="H415" s="41" t="s">
        <v>191</v>
      </c>
      <c r="I415" s="42">
        <f>M415</f>
        <v>263644.06779661018</v>
      </c>
      <c r="J415" s="42">
        <v>311100</v>
      </c>
      <c r="K415" s="42"/>
      <c r="L415" s="42"/>
      <c r="M415" s="42">
        <f>P415</f>
        <v>263644.06779661018</v>
      </c>
      <c r="N415" s="42">
        <v>311100</v>
      </c>
      <c r="O415" s="42"/>
      <c r="P415" s="42">
        <f>Q415/1.18</f>
        <v>263644.06779661018</v>
      </c>
      <c r="Q415" s="42">
        <f t="shared" si="40"/>
        <v>311100</v>
      </c>
    </row>
    <row r="416" spans="1:17" ht="29.25" customHeight="1" x14ac:dyDescent="0.25">
      <c r="A416" s="9"/>
      <c r="B416" s="11" t="s">
        <v>2078</v>
      </c>
      <c r="C416" s="37" t="s">
        <v>836</v>
      </c>
      <c r="D416" s="38" t="s">
        <v>835</v>
      </c>
      <c r="E416" s="38"/>
      <c r="F416" s="72"/>
      <c r="G416" s="40" t="s">
        <v>402</v>
      </c>
      <c r="H416" s="41" t="s">
        <v>119</v>
      </c>
      <c r="I416" s="42">
        <v>106000</v>
      </c>
      <c r="J416" s="42">
        <v>106000</v>
      </c>
      <c r="K416" s="42"/>
      <c r="L416" s="42"/>
      <c r="M416" s="42">
        <f t="shared" si="41"/>
        <v>106000</v>
      </c>
      <c r="N416" s="42">
        <v>106000</v>
      </c>
      <c r="O416" s="42"/>
      <c r="P416" s="42">
        <f t="shared" si="42"/>
        <v>106000</v>
      </c>
      <c r="Q416" s="42">
        <f t="shared" si="40"/>
        <v>106000</v>
      </c>
    </row>
    <row r="417" spans="1:17" ht="34.5" customHeight="1" x14ac:dyDescent="0.25">
      <c r="A417" s="9"/>
      <c r="B417" s="11" t="s">
        <v>2079</v>
      </c>
      <c r="C417" s="37" t="s">
        <v>838</v>
      </c>
      <c r="D417" s="38" t="s">
        <v>837</v>
      </c>
      <c r="E417" s="38"/>
      <c r="F417" s="72"/>
      <c r="G417" s="40" t="s">
        <v>408</v>
      </c>
      <c r="H417" s="41" t="s">
        <v>229</v>
      </c>
      <c r="I417" s="42">
        <v>208840</v>
      </c>
      <c r="J417" s="42">
        <v>208840</v>
      </c>
      <c r="K417" s="42"/>
      <c r="L417" s="42"/>
      <c r="M417" s="42">
        <f t="shared" si="41"/>
        <v>208840</v>
      </c>
      <c r="N417" s="42">
        <v>208840</v>
      </c>
      <c r="O417" s="42"/>
      <c r="P417" s="42">
        <f t="shared" si="42"/>
        <v>208840</v>
      </c>
      <c r="Q417" s="42">
        <f t="shared" si="40"/>
        <v>208840</v>
      </c>
    </row>
    <row r="418" spans="1:17" ht="36" customHeight="1" x14ac:dyDescent="0.25">
      <c r="A418" s="9"/>
      <c r="B418" s="11" t="s">
        <v>2079</v>
      </c>
      <c r="C418" s="37" t="s">
        <v>839</v>
      </c>
      <c r="D418" s="38" t="s">
        <v>119</v>
      </c>
      <c r="E418" s="38"/>
      <c r="F418" s="72"/>
      <c r="G418" s="40" t="s">
        <v>409</v>
      </c>
      <c r="H418" s="41" t="s">
        <v>119</v>
      </c>
      <c r="I418" s="42">
        <v>417680</v>
      </c>
      <c r="J418" s="42">
        <v>417680</v>
      </c>
      <c r="K418" s="42"/>
      <c r="L418" s="42"/>
      <c r="M418" s="42">
        <f t="shared" si="41"/>
        <v>417680</v>
      </c>
      <c r="N418" s="42">
        <v>417680</v>
      </c>
      <c r="O418" s="42"/>
      <c r="P418" s="42">
        <f t="shared" si="42"/>
        <v>417680</v>
      </c>
      <c r="Q418" s="42">
        <f t="shared" si="40"/>
        <v>417680</v>
      </c>
    </row>
    <row r="419" spans="1:17" ht="44.25" customHeight="1" x14ac:dyDescent="0.25">
      <c r="A419" s="111"/>
      <c r="B419" s="112" t="s">
        <v>2080</v>
      </c>
      <c r="C419" s="89" t="s">
        <v>841</v>
      </c>
      <c r="D419" s="113" t="s">
        <v>840</v>
      </c>
      <c r="E419" s="113"/>
      <c r="F419" s="72"/>
      <c r="G419" s="40" t="s">
        <v>422</v>
      </c>
      <c r="H419" s="41" t="s">
        <v>423</v>
      </c>
      <c r="I419" s="42">
        <f>M419</f>
        <v>2875656.779661017</v>
      </c>
      <c r="J419" s="42">
        <v>3393275</v>
      </c>
      <c r="K419" s="42"/>
      <c r="L419" s="42"/>
      <c r="M419" s="42">
        <f>P419</f>
        <v>2875656.779661017</v>
      </c>
      <c r="N419" s="42">
        <v>3393275</v>
      </c>
      <c r="O419" s="42"/>
      <c r="P419" s="42">
        <f>Q419/1.18</f>
        <v>2875656.779661017</v>
      </c>
      <c r="Q419" s="42">
        <f t="shared" si="40"/>
        <v>3393275</v>
      </c>
    </row>
    <row r="420" spans="1:17" ht="28.5" customHeight="1" x14ac:dyDescent="0.25">
      <c r="A420" s="9"/>
      <c r="B420" s="11" t="s">
        <v>2081</v>
      </c>
      <c r="C420" s="37" t="s">
        <v>842</v>
      </c>
      <c r="D420" s="38" t="s">
        <v>128</v>
      </c>
      <c r="E420" s="38"/>
      <c r="F420" s="72"/>
      <c r="G420" s="40" t="s">
        <v>425</v>
      </c>
      <c r="H420" s="41" t="s">
        <v>128</v>
      </c>
      <c r="I420" s="42">
        <v>15383.85</v>
      </c>
      <c r="J420" s="42">
        <v>18152.939999999999</v>
      </c>
      <c r="K420" s="42"/>
      <c r="L420" s="42"/>
      <c r="M420" s="42">
        <v>15383.85</v>
      </c>
      <c r="N420" s="42">
        <v>18152.939999999999</v>
      </c>
      <c r="O420" s="42"/>
      <c r="P420" s="42">
        <v>15383.85</v>
      </c>
      <c r="Q420" s="42">
        <f t="shared" si="40"/>
        <v>18152.939999999999</v>
      </c>
    </row>
    <row r="421" spans="1:17" ht="27.75" customHeight="1" x14ac:dyDescent="0.25">
      <c r="A421" s="111"/>
      <c r="B421" s="112" t="s">
        <v>2082</v>
      </c>
      <c r="C421" s="397" t="s">
        <v>844</v>
      </c>
      <c r="D421" s="394" t="s">
        <v>843</v>
      </c>
      <c r="E421" s="113"/>
      <c r="F421" s="72"/>
      <c r="G421" s="40" t="s">
        <v>428</v>
      </c>
      <c r="H421" s="41" t="s">
        <v>104</v>
      </c>
      <c r="I421" s="42">
        <f>M421</f>
        <v>694354.83050847461</v>
      </c>
      <c r="J421" s="42">
        <v>819338.7</v>
      </c>
      <c r="K421" s="42" t="s">
        <v>2146</v>
      </c>
      <c r="L421" s="42"/>
      <c r="M421" s="42">
        <f>P421</f>
        <v>694354.83050847461</v>
      </c>
      <c r="N421" s="42">
        <v>819338.7</v>
      </c>
      <c r="O421" s="42"/>
      <c r="P421" s="42">
        <f>Q421/1.18</f>
        <v>694354.83050847461</v>
      </c>
      <c r="Q421" s="42">
        <f t="shared" si="40"/>
        <v>819338.7</v>
      </c>
    </row>
    <row r="422" spans="1:17" ht="30" customHeight="1" x14ac:dyDescent="0.25">
      <c r="A422" s="111"/>
      <c r="B422" s="112" t="s">
        <v>2083</v>
      </c>
      <c r="C422" s="398"/>
      <c r="D422" s="395"/>
      <c r="E422" s="113"/>
      <c r="F422" s="72"/>
      <c r="G422" s="40" t="s">
        <v>429</v>
      </c>
      <c r="H422" s="41" t="s">
        <v>232</v>
      </c>
      <c r="I422" s="42">
        <f t="shared" ref="I422:I449" si="43">M422</f>
        <v>440812.60169491527</v>
      </c>
      <c r="J422" s="42">
        <v>520158.87</v>
      </c>
      <c r="K422" s="42"/>
      <c r="L422" s="42"/>
      <c r="M422" s="42">
        <f t="shared" ref="M422:M449" si="44">P422</f>
        <v>440812.60169491527</v>
      </c>
      <c r="N422" s="42">
        <v>520158.87</v>
      </c>
      <c r="O422" s="42"/>
      <c r="P422" s="42">
        <f t="shared" ref="P422:P449" si="45">Q422/1.18</f>
        <v>440812.60169491527</v>
      </c>
      <c r="Q422" s="42">
        <f t="shared" si="40"/>
        <v>520158.87</v>
      </c>
    </row>
    <row r="423" spans="1:17" ht="32.25" customHeight="1" x14ac:dyDescent="0.25">
      <c r="A423" s="111"/>
      <c r="B423" s="112" t="s">
        <v>2084</v>
      </c>
      <c r="C423" s="398"/>
      <c r="D423" s="395"/>
      <c r="E423" s="113"/>
      <c r="F423" s="72"/>
      <c r="G423" s="40" t="s">
        <v>430</v>
      </c>
      <c r="H423" s="41" t="s">
        <v>261</v>
      </c>
      <c r="I423" s="42">
        <f t="shared" si="43"/>
        <v>678301.34745762718</v>
      </c>
      <c r="J423" s="42">
        <v>800395.59</v>
      </c>
      <c r="K423" s="42"/>
      <c r="L423" s="42"/>
      <c r="M423" s="42">
        <f t="shared" si="44"/>
        <v>678301.34745762718</v>
      </c>
      <c r="N423" s="42">
        <v>800395.59</v>
      </c>
      <c r="O423" s="42"/>
      <c r="P423" s="42">
        <f t="shared" si="45"/>
        <v>678301.34745762718</v>
      </c>
      <c r="Q423" s="42">
        <f t="shared" si="40"/>
        <v>800395.59</v>
      </c>
    </row>
    <row r="424" spans="1:17" ht="38.25" customHeight="1" x14ac:dyDescent="0.25">
      <c r="A424" s="111"/>
      <c r="B424" s="112" t="s">
        <v>2084</v>
      </c>
      <c r="C424" s="398"/>
      <c r="D424" s="395"/>
      <c r="E424" s="113"/>
      <c r="F424" s="72"/>
      <c r="G424" s="40" t="s">
        <v>431</v>
      </c>
      <c r="H424" s="41" t="s">
        <v>261</v>
      </c>
      <c r="I424" s="42">
        <f t="shared" si="43"/>
        <v>1088322.4830508474</v>
      </c>
      <c r="J424" s="42">
        <v>1284220.53</v>
      </c>
      <c r="K424" s="42"/>
      <c r="L424" s="42"/>
      <c r="M424" s="42">
        <f t="shared" si="44"/>
        <v>1088322.4830508474</v>
      </c>
      <c r="N424" s="42">
        <v>1284220.53</v>
      </c>
      <c r="O424" s="42"/>
      <c r="P424" s="42">
        <f t="shared" si="45"/>
        <v>1088322.4830508474</v>
      </c>
      <c r="Q424" s="42">
        <f t="shared" si="40"/>
        <v>1284220.53</v>
      </c>
    </row>
    <row r="425" spans="1:17" ht="39" customHeight="1" x14ac:dyDescent="0.25">
      <c r="A425" s="111"/>
      <c r="B425" s="112" t="s">
        <v>2084</v>
      </c>
      <c r="C425" s="398"/>
      <c r="D425" s="395"/>
      <c r="E425" s="113"/>
      <c r="F425" s="72"/>
      <c r="G425" s="40" t="s">
        <v>432</v>
      </c>
      <c r="H425" s="41" t="s">
        <v>454</v>
      </c>
      <c r="I425" s="42">
        <f t="shared" si="43"/>
        <v>1087256.9237288137</v>
      </c>
      <c r="J425" s="42">
        <v>1282963.17</v>
      </c>
      <c r="K425" s="42"/>
      <c r="L425" s="42"/>
      <c r="M425" s="42">
        <f t="shared" si="44"/>
        <v>1087256.9237288137</v>
      </c>
      <c r="N425" s="42">
        <v>1282963.17</v>
      </c>
      <c r="O425" s="42"/>
      <c r="P425" s="42">
        <f t="shared" si="45"/>
        <v>1087256.9237288137</v>
      </c>
      <c r="Q425" s="42">
        <f t="shared" si="40"/>
        <v>1282963.17</v>
      </c>
    </row>
    <row r="426" spans="1:17" ht="35.25" customHeight="1" x14ac:dyDescent="0.25">
      <c r="A426" s="111"/>
      <c r="B426" s="112" t="s">
        <v>2084</v>
      </c>
      <c r="C426" s="398"/>
      <c r="D426" s="395"/>
      <c r="E426" s="113"/>
      <c r="F426" s="72"/>
      <c r="G426" s="40" t="s">
        <v>433</v>
      </c>
      <c r="H426" s="41" t="s">
        <v>454</v>
      </c>
      <c r="I426" s="42">
        <f t="shared" si="43"/>
        <v>677637.23728813557</v>
      </c>
      <c r="J426" s="42">
        <v>799611.94</v>
      </c>
      <c r="K426" s="42"/>
      <c r="L426" s="42"/>
      <c r="M426" s="42">
        <f t="shared" si="44"/>
        <v>677637.23728813557</v>
      </c>
      <c r="N426" s="42">
        <v>799611.94</v>
      </c>
      <c r="O426" s="42"/>
      <c r="P426" s="42">
        <f t="shared" si="45"/>
        <v>677637.23728813557</v>
      </c>
      <c r="Q426" s="42">
        <f t="shared" si="40"/>
        <v>799611.94</v>
      </c>
    </row>
    <row r="427" spans="1:17" ht="35.25" customHeight="1" x14ac:dyDescent="0.25">
      <c r="A427" s="111"/>
      <c r="B427" s="112" t="s">
        <v>2085</v>
      </c>
      <c r="C427" s="398"/>
      <c r="D427" s="395"/>
      <c r="E427" s="113"/>
      <c r="F427" s="72"/>
      <c r="G427" s="40" t="s">
        <v>434</v>
      </c>
      <c r="H427" s="41" t="s">
        <v>423</v>
      </c>
      <c r="I427" s="42">
        <f t="shared" si="43"/>
        <v>330763.44067796611</v>
      </c>
      <c r="J427" s="42">
        <v>390300.86</v>
      </c>
      <c r="K427" s="42"/>
      <c r="L427" s="42"/>
      <c r="M427" s="42">
        <f t="shared" si="44"/>
        <v>330763.44067796611</v>
      </c>
      <c r="N427" s="42">
        <v>390300.86</v>
      </c>
      <c r="O427" s="42"/>
      <c r="P427" s="42">
        <f t="shared" si="45"/>
        <v>330763.44067796611</v>
      </c>
      <c r="Q427" s="42">
        <f t="shared" si="40"/>
        <v>390300.86</v>
      </c>
    </row>
    <row r="428" spans="1:17" ht="35.25" customHeight="1" x14ac:dyDescent="0.25">
      <c r="A428" s="111"/>
      <c r="B428" s="112" t="s">
        <v>2085</v>
      </c>
      <c r="C428" s="398"/>
      <c r="D428" s="395"/>
      <c r="E428" s="113"/>
      <c r="F428" s="72"/>
      <c r="G428" s="40" t="s">
        <v>1775</v>
      </c>
      <c r="H428" s="41">
        <v>42460</v>
      </c>
      <c r="I428" s="42">
        <f t="shared" si="43"/>
        <v>616873.2288135594</v>
      </c>
      <c r="J428" s="42">
        <v>727910.41</v>
      </c>
      <c r="K428" s="42"/>
      <c r="L428" s="42"/>
      <c r="M428" s="42">
        <f t="shared" si="44"/>
        <v>616873.2288135594</v>
      </c>
      <c r="N428" s="42">
        <v>727910.41</v>
      </c>
      <c r="O428" s="42"/>
      <c r="P428" s="42">
        <f t="shared" si="45"/>
        <v>616873.2288135594</v>
      </c>
      <c r="Q428" s="42">
        <f t="shared" si="40"/>
        <v>727910.41</v>
      </c>
    </row>
    <row r="429" spans="1:17" ht="39" customHeight="1" x14ac:dyDescent="0.25">
      <c r="A429" s="111"/>
      <c r="B429" s="112" t="s">
        <v>2084</v>
      </c>
      <c r="C429" s="398"/>
      <c r="D429" s="395"/>
      <c r="E429" s="113"/>
      <c r="F429" s="72"/>
      <c r="G429" s="40" t="s">
        <v>435</v>
      </c>
      <c r="H429" s="41" t="s">
        <v>162</v>
      </c>
      <c r="I429" s="42">
        <f t="shared" si="43"/>
        <v>989762.16101694934</v>
      </c>
      <c r="J429" s="42">
        <v>1167919.3500000001</v>
      </c>
      <c r="K429" s="42"/>
      <c r="L429" s="42"/>
      <c r="M429" s="42">
        <f t="shared" si="44"/>
        <v>989762.16101694934</v>
      </c>
      <c r="N429" s="42">
        <v>1167919.3500000001</v>
      </c>
      <c r="O429" s="42"/>
      <c r="P429" s="42">
        <f t="shared" si="45"/>
        <v>989762.16101694934</v>
      </c>
      <c r="Q429" s="42">
        <f t="shared" si="40"/>
        <v>1167919.3500000001</v>
      </c>
    </row>
    <row r="430" spans="1:17" ht="36.75" customHeight="1" x14ac:dyDescent="0.25">
      <c r="A430" s="111"/>
      <c r="B430" s="112" t="s">
        <v>2086</v>
      </c>
      <c r="C430" s="398"/>
      <c r="D430" s="395"/>
      <c r="E430" s="113"/>
      <c r="F430" s="72"/>
      <c r="G430" s="40" t="s">
        <v>436</v>
      </c>
      <c r="H430" s="41" t="s">
        <v>229</v>
      </c>
      <c r="I430" s="42">
        <f t="shared" si="43"/>
        <v>594819.64406779665</v>
      </c>
      <c r="J430" s="42">
        <v>701887.18</v>
      </c>
      <c r="K430" s="42"/>
      <c r="L430" s="42"/>
      <c r="M430" s="42">
        <f t="shared" si="44"/>
        <v>594819.64406779665</v>
      </c>
      <c r="N430" s="42">
        <v>701887.18</v>
      </c>
      <c r="O430" s="42"/>
      <c r="P430" s="42">
        <f t="shared" si="45"/>
        <v>594819.64406779665</v>
      </c>
      <c r="Q430" s="42">
        <f t="shared" si="40"/>
        <v>701887.18</v>
      </c>
    </row>
    <row r="431" spans="1:17" ht="36.75" customHeight="1" x14ac:dyDescent="0.25">
      <c r="A431" s="111"/>
      <c r="B431" s="112" t="s">
        <v>2086</v>
      </c>
      <c r="C431" s="398"/>
      <c r="D431" s="395"/>
      <c r="E431" s="113"/>
      <c r="F431" s="72"/>
      <c r="G431" s="40" t="s">
        <v>1763</v>
      </c>
      <c r="H431" s="41" t="s">
        <v>1764</v>
      </c>
      <c r="I431" s="42">
        <f t="shared" si="43"/>
        <v>954378.19491525425</v>
      </c>
      <c r="J431" s="42">
        <v>1126166.27</v>
      </c>
      <c r="K431" s="42"/>
      <c r="L431" s="42"/>
      <c r="M431" s="42">
        <f t="shared" si="44"/>
        <v>954378.19491525425</v>
      </c>
      <c r="N431" s="42">
        <v>1126166.27</v>
      </c>
      <c r="O431" s="42"/>
      <c r="P431" s="42">
        <f t="shared" si="45"/>
        <v>954378.19491525425</v>
      </c>
      <c r="Q431" s="42">
        <f t="shared" si="40"/>
        <v>1126166.27</v>
      </c>
    </row>
    <row r="432" spans="1:17" ht="29.25" customHeight="1" x14ac:dyDescent="0.25">
      <c r="A432" s="111"/>
      <c r="B432" s="112" t="s">
        <v>2087</v>
      </c>
      <c r="C432" s="398"/>
      <c r="D432" s="395"/>
      <c r="E432" s="113"/>
      <c r="F432" s="72"/>
      <c r="G432" s="40" t="s">
        <v>437</v>
      </c>
      <c r="H432" s="41" t="s">
        <v>229</v>
      </c>
      <c r="I432" s="42">
        <f t="shared" si="43"/>
        <v>439123.68644067802</v>
      </c>
      <c r="J432" s="42">
        <v>518165.95</v>
      </c>
      <c r="K432" s="42"/>
      <c r="L432" s="42"/>
      <c r="M432" s="42">
        <f t="shared" si="44"/>
        <v>439123.68644067802</v>
      </c>
      <c r="N432" s="42">
        <v>518165.95</v>
      </c>
      <c r="O432" s="42"/>
      <c r="P432" s="42">
        <f t="shared" si="45"/>
        <v>439123.68644067802</v>
      </c>
      <c r="Q432" s="42">
        <f t="shared" si="40"/>
        <v>518165.95</v>
      </c>
    </row>
    <row r="433" spans="1:17" ht="56.25" customHeight="1" x14ac:dyDescent="0.25">
      <c r="A433" s="111"/>
      <c r="B433" s="112" t="s">
        <v>2088</v>
      </c>
      <c r="C433" s="398"/>
      <c r="D433" s="395"/>
      <c r="E433" s="113"/>
      <c r="F433" s="72"/>
      <c r="G433" s="40" t="s">
        <v>438</v>
      </c>
      <c r="H433" s="41" t="s">
        <v>117</v>
      </c>
      <c r="I433" s="42">
        <f t="shared" si="43"/>
        <v>58325.813559322043</v>
      </c>
      <c r="J433" s="42">
        <v>68824.460000000006</v>
      </c>
      <c r="K433" s="42"/>
      <c r="L433" s="42"/>
      <c r="M433" s="42">
        <f t="shared" si="44"/>
        <v>58325.813559322043</v>
      </c>
      <c r="N433" s="42">
        <v>68824.460000000006</v>
      </c>
      <c r="O433" s="42"/>
      <c r="P433" s="42">
        <f t="shared" si="45"/>
        <v>58325.813559322043</v>
      </c>
      <c r="Q433" s="42">
        <f t="shared" si="40"/>
        <v>68824.460000000006</v>
      </c>
    </row>
    <row r="434" spans="1:17" ht="18" customHeight="1" x14ac:dyDescent="0.25">
      <c r="A434" s="111"/>
      <c r="B434" s="112" t="s">
        <v>2089</v>
      </c>
      <c r="C434" s="398"/>
      <c r="D434" s="395"/>
      <c r="E434" s="113"/>
      <c r="F434" s="72"/>
      <c r="G434" s="40" t="s">
        <v>439</v>
      </c>
      <c r="H434" s="41" t="s">
        <v>276</v>
      </c>
      <c r="I434" s="42">
        <f t="shared" si="43"/>
        <v>446457.65254237293</v>
      </c>
      <c r="J434" s="42">
        <v>526820.03</v>
      </c>
      <c r="K434" s="42"/>
      <c r="L434" s="42"/>
      <c r="M434" s="42">
        <f t="shared" si="44"/>
        <v>446457.65254237293</v>
      </c>
      <c r="N434" s="42">
        <v>526820.03</v>
      </c>
      <c r="O434" s="42"/>
      <c r="P434" s="42">
        <f t="shared" si="45"/>
        <v>446457.65254237293</v>
      </c>
      <c r="Q434" s="42">
        <f t="shared" si="40"/>
        <v>526820.03</v>
      </c>
    </row>
    <row r="435" spans="1:17" ht="48" customHeight="1" x14ac:dyDescent="0.25">
      <c r="A435" s="111"/>
      <c r="B435" s="112" t="s">
        <v>2088</v>
      </c>
      <c r="C435" s="398"/>
      <c r="D435" s="395"/>
      <c r="E435" s="113"/>
      <c r="F435" s="72"/>
      <c r="G435" s="40" t="s">
        <v>440</v>
      </c>
      <c r="H435" s="41" t="s">
        <v>394</v>
      </c>
      <c r="I435" s="42">
        <f t="shared" si="43"/>
        <v>81679.847457627126</v>
      </c>
      <c r="J435" s="42">
        <v>96382.22</v>
      </c>
      <c r="K435" s="42"/>
      <c r="L435" s="42"/>
      <c r="M435" s="42">
        <f t="shared" si="44"/>
        <v>81679.847457627126</v>
      </c>
      <c r="N435" s="42">
        <v>96382.22</v>
      </c>
      <c r="O435" s="42"/>
      <c r="P435" s="42">
        <f t="shared" si="45"/>
        <v>81679.847457627126</v>
      </c>
      <c r="Q435" s="42">
        <f t="shared" si="40"/>
        <v>96382.22</v>
      </c>
    </row>
    <row r="436" spans="1:17" ht="18" customHeight="1" x14ac:dyDescent="0.25">
      <c r="A436" s="111"/>
      <c r="B436" s="112" t="s">
        <v>2089</v>
      </c>
      <c r="C436" s="398"/>
      <c r="D436" s="395"/>
      <c r="E436" s="113"/>
      <c r="F436" s="72"/>
      <c r="G436" s="40" t="s">
        <v>441</v>
      </c>
      <c r="H436" s="41" t="s">
        <v>394</v>
      </c>
      <c r="I436" s="42">
        <f t="shared" si="43"/>
        <v>433036.23728813563</v>
      </c>
      <c r="J436" s="42">
        <v>510982.76</v>
      </c>
      <c r="K436" s="42"/>
      <c r="L436" s="42"/>
      <c r="M436" s="42">
        <f t="shared" si="44"/>
        <v>433036.23728813563</v>
      </c>
      <c r="N436" s="42">
        <v>510982.76</v>
      </c>
      <c r="O436" s="42"/>
      <c r="P436" s="42">
        <f t="shared" si="45"/>
        <v>433036.23728813563</v>
      </c>
      <c r="Q436" s="42">
        <f t="shared" si="40"/>
        <v>510982.76</v>
      </c>
    </row>
    <row r="437" spans="1:17" ht="58.5" customHeight="1" x14ac:dyDescent="0.25">
      <c r="A437" s="111"/>
      <c r="B437" s="112" t="s">
        <v>2088</v>
      </c>
      <c r="C437" s="398"/>
      <c r="D437" s="395"/>
      <c r="E437" s="113"/>
      <c r="F437" s="72"/>
      <c r="G437" s="40" t="s">
        <v>442</v>
      </c>
      <c r="H437" s="41" t="s">
        <v>256</v>
      </c>
      <c r="I437" s="42">
        <f t="shared" si="43"/>
        <v>79186.669491525434</v>
      </c>
      <c r="J437" s="42">
        <v>93440.27</v>
      </c>
      <c r="K437" s="42"/>
      <c r="L437" s="42"/>
      <c r="M437" s="42">
        <f t="shared" si="44"/>
        <v>79186.669491525434</v>
      </c>
      <c r="N437" s="42">
        <v>93440.27</v>
      </c>
      <c r="O437" s="42"/>
      <c r="P437" s="42">
        <f t="shared" si="45"/>
        <v>79186.669491525434</v>
      </c>
      <c r="Q437" s="42">
        <f t="shared" si="40"/>
        <v>93440.27</v>
      </c>
    </row>
    <row r="438" spans="1:17" ht="45.75" customHeight="1" x14ac:dyDescent="0.25">
      <c r="A438" s="111"/>
      <c r="B438" s="112" t="s">
        <v>2090</v>
      </c>
      <c r="C438" s="398"/>
      <c r="D438" s="395"/>
      <c r="E438" s="113"/>
      <c r="F438" s="72"/>
      <c r="G438" s="40" t="s">
        <v>443</v>
      </c>
      <c r="H438" s="41" t="s">
        <v>207</v>
      </c>
      <c r="I438" s="42">
        <f t="shared" si="43"/>
        <v>414695.3644067797</v>
      </c>
      <c r="J438" s="42">
        <v>489340.53</v>
      </c>
      <c r="K438" s="42"/>
      <c r="L438" s="42"/>
      <c r="M438" s="42">
        <f t="shared" si="44"/>
        <v>414695.3644067797</v>
      </c>
      <c r="N438" s="42">
        <v>489340.53</v>
      </c>
      <c r="O438" s="42"/>
      <c r="P438" s="42">
        <f t="shared" si="45"/>
        <v>414695.3644067797</v>
      </c>
      <c r="Q438" s="42">
        <f t="shared" si="40"/>
        <v>489340.53</v>
      </c>
    </row>
    <row r="439" spans="1:17" ht="34.5" customHeight="1" x14ac:dyDescent="0.25">
      <c r="A439" s="111"/>
      <c r="B439" s="112" t="s">
        <v>2091</v>
      </c>
      <c r="C439" s="398"/>
      <c r="D439" s="395"/>
      <c r="E439" s="113"/>
      <c r="F439" s="72"/>
      <c r="G439" s="40" t="s">
        <v>444</v>
      </c>
      <c r="H439" s="41" t="s">
        <v>105</v>
      </c>
      <c r="I439" s="42">
        <f t="shared" si="43"/>
        <v>410955.39830508479</v>
      </c>
      <c r="J439" s="42">
        <v>484927.37</v>
      </c>
      <c r="K439" s="42"/>
      <c r="L439" s="42"/>
      <c r="M439" s="42">
        <f t="shared" si="44"/>
        <v>410955.39830508479</v>
      </c>
      <c r="N439" s="42">
        <v>484927.37</v>
      </c>
      <c r="O439" s="42"/>
      <c r="P439" s="42">
        <f t="shared" si="45"/>
        <v>410955.39830508479</v>
      </c>
      <c r="Q439" s="42">
        <f t="shared" si="40"/>
        <v>484927.37</v>
      </c>
    </row>
    <row r="440" spans="1:17" ht="38.25" customHeight="1" x14ac:dyDescent="0.25">
      <c r="A440" s="111"/>
      <c r="B440" s="112" t="s">
        <v>2092</v>
      </c>
      <c r="C440" s="398"/>
      <c r="D440" s="395"/>
      <c r="E440" s="113"/>
      <c r="F440" s="72"/>
      <c r="G440" s="40" t="s">
        <v>445</v>
      </c>
      <c r="H440" s="41" t="s">
        <v>215</v>
      </c>
      <c r="I440" s="42">
        <f t="shared" si="43"/>
        <v>162427.51694915254</v>
      </c>
      <c r="J440" s="42">
        <v>191664.47</v>
      </c>
      <c r="K440" s="42"/>
      <c r="L440" s="42"/>
      <c r="M440" s="42">
        <f t="shared" si="44"/>
        <v>162427.51694915254</v>
      </c>
      <c r="N440" s="42">
        <v>191664.47</v>
      </c>
      <c r="O440" s="42"/>
      <c r="P440" s="42">
        <f t="shared" si="45"/>
        <v>162427.51694915254</v>
      </c>
      <c r="Q440" s="42">
        <f t="shared" si="40"/>
        <v>191664.47</v>
      </c>
    </row>
    <row r="441" spans="1:17" ht="28.5" customHeight="1" x14ac:dyDescent="0.25">
      <c r="A441" s="111"/>
      <c r="B441" s="112" t="s">
        <v>2085</v>
      </c>
      <c r="C441" s="399"/>
      <c r="D441" s="396"/>
      <c r="E441" s="113"/>
      <c r="F441" s="72"/>
      <c r="G441" s="96" t="s">
        <v>446</v>
      </c>
      <c r="H441" s="97" t="s">
        <v>257</v>
      </c>
      <c r="I441" s="87">
        <f t="shared" si="43"/>
        <v>576952.23728813569</v>
      </c>
      <c r="J441" s="87">
        <v>680803.64</v>
      </c>
      <c r="K441" s="42"/>
      <c r="L441" s="42"/>
      <c r="M441" s="42">
        <f t="shared" si="44"/>
        <v>576952.23728813569</v>
      </c>
      <c r="N441" s="42">
        <v>680803.64</v>
      </c>
      <c r="O441" s="42"/>
      <c r="P441" s="42">
        <f t="shared" si="45"/>
        <v>576952.23728813569</v>
      </c>
      <c r="Q441" s="42">
        <f t="shared" si="40"/>
        <v>680803.64</v>
      </c>
    </row>
    <row r="442" spans="1:17" ht="34.5" customHeight="1" x14ac:dyDescent="0.25">
      <c r="A442" s="111"/>
      <c r="B442" s="112" t="s">
        <v>2087</v>
      </c>
      <c r="C442" s="89" t="s">
        <v>845</v>
      </c>
      <c r="D442" s="113" t="s">
        <v>386</v>
      </c>
      <c r="E442" s="113"/>
      <c r="F442" s="72"/>
      <c r="G442" s="40" t="s">
        <v>447</v>
      </c>
      <c r="H442" s="41" t="s">
        <v>455</v>
      </c>
      <c r="I442" s="42">
        <f t="shared" si="43"/>
        <v>560131.779661017</v>
      </c>
      <c r="J442" s="42">
        <v>660955.5</v>
      </c>
      <c r="K442" s="42"/>
      <c r="L442" s="42"/>
      <c r="M442" s="42">
        <f t="shared" si="44"/>
        <v>560131.779661017</v>
      </c>
      <c r="N442" s="42">
        <v>660955.5</v>
      </c>
      <c r="O442" s="42"/>
      <c r="P442" s="42">
        <f t="shared" si="45"/>
        <v>560131.779661017</v>
      </c>
      <c r="Q442" s="42">
        <f t="shared" si="40"/>
        <v>660955.5</v>
      </c>
    </row>
    <row r="443" spans="1:17" ht="51.75" customHeight="1" x14ac:dyDescent="0.25">
      <c r="A443" s="111"/>
      <c r="B443" s="112" t="s">
        <v>2093</v>
      </c>
      <c r="C443" s="397" t="s">
        <v>847</v>
      </c>
      <c r="D443" s="394" t="s">
        <v>846</v>
      </c>
      <c r="E443" s="113"/>
      <c r="F443" s="72"/>
      <c r="G443" s="40" t="s">
        <v>448</v>
      </c>
      <c r="H443" s="41" t="s">
        <v>357</v>
      </c>
      <c r="I443" s="42">
        <f t="shared" si="43"/>
        <v>1223874.7711864407</v>
      </c>
      <c r="J443" s="42">
        <v>1444172.23</v>
      </c>
      <c r="K443" s="42"/>
      <c r="L443" s="42"/>
      <c r="M443" s="42">
        <f t="shared" si="44"/>
        <v>1223874.7711864407</v>
      </c>
      <c r="N443" s="42">
        <v>1444172.23</v>
      </c>
      <c r="O443" s="42"/>
      <c r="P443" s="42">
        <f t="shared" si="45"/>
        <v>1223874.7711864407</v>
      </c>
      <c r="Q443" s="42">
        <f t="shared" si="40"/>
        <v>1444172.23</v>
      </c>
    </row>
    <row r="444" spans="1:17" ht="51.75" customHeight="1" x14ac:dyDescent="0.25">
      <c r="A444" s="111"/>
      <c r="B444" s="112" t="s">
        <v>2093</v>
      </c>
      <c r="C444" s="398"/>
      <c r="D444" s="395"/>
      <c r="E444" s="113"/>
      <c r="F444" s="72"/>
      <c r="G444" s="40" t="s">
        <v>1774</v>
      </c>
      <c r="H444" s="41">
        <v>42753</v>
      </c>
      <c r="I444" s="42">
        <f t="shared" si="43"/>
        <v>1020130.6440677966</v>
      </c>
      <c r="J444" s="42">
        <v>1203754.1599999999</v>
      </c>
      <c r="K444" s="42"/>
      <c r="L444" s="42"/>
      <c r="M444" s="42">
        <f t="shared" si="44"/>
        <v>1020130.6440677966</v>
      </c>
      <c r="N444" s="42">
        <v>1203754.1599999999</v>
      </c>
      <c r="O444" s="42"/>
      <c r="P444" s="42">
        <f t="shared" si="45"/>
        <v>1020130.6440677966</v>
      </c>
      <c r="Q444" s="42">
        <f t="shared" si="40"/>
        <v>1203754.1599999999</v>
      </c>
    </row>
    <row r="445" spans="1:17" ht="32.25" customHeight="1" x14ac:dyDescent="0.25">
      <c r="A445" s="111"/>
      <c r="B445" s="112" t="s">
        <v>2087</v>
      </c>
      <c r="C445" s="398"/>
      <c r="D445" s="395"/>
      <c r="E445" s="113"/>
      <c r="F445" s="72"/>
      <c r="G445" s="96" t="s">
        <v>449</v>
      </c>
      <c r="H445" s="97" t="s">
        <v>165</v>
      </c>
      <c r="I445" s="87">
        <f t="shared" si="43"/>
        <v>421505.88135593222</v>
      </c>
      <c r="J445" s="87">
        <v>497376.94</v>
      </c>
      <c r="K445" s="42"/>
      <c r="L445" s="42"/>
      <c r="M445" s="42">
        <f t="shared" si="44"/>
        <v>421505.88135593222</v>
      </c>
      <c r="N445" s="42">
        <v>497376.94</v>
      </c>
      <c r="O445" s="42"/>
      <c r="P445" s="42">
        <f t="shared" si="45"/>
        <v>421505.88135593222</v>
      </c>
      <c r="Q445" s="42">
        <f t="shared" si="40"/>
        <v>497376.94</v>
      </c>
    </row>
    <row r="446" spans="1:17" ht="18" customHeight="1" x14ac:dyDescent="0.25">
      <c r="A446" s="111"/>
      <c r="B446" s="112" t="s">
        <v>2094</v>
      </c>
      <c r="C446" s="398"/>
      <c r="D446" s="395"/>
      <c r="E446" s="113"/>
      <c r="F446" s="72"/>
      <c r="G446" s="40" t="s">
        <v>450</v>
      </c>
      <c r="H446" s="41" t="s">
        <v>167</v>
      </c>
      <c r="I446" s="42">
        <f t="shared" si="43"/>
        <v>1238245.8305084747</v>
      </c>
      <c r="J446" s="42">
        <v>1461130.08</v>
      </c>
      <c r="K446" s="42"/>
      <c r="L446" s="42"/>
      <c r="M446" s="42">
        <f t="shared" si="44"/>
        <v>1238245.8305084747</v>
      </c>
      <c r="N446" s="42">
        <v>1461130.08</v>
      </c>
      <c r="O446" s="42"/>
      <c r="P446" s="42">
        <f t="shared" si="45"/>
        <v>1238245.8305084747</v>
      </c>
      <c r="Q446" s="42">
        <f t="shared" si="40"/>
        <v>1461130.08</v>
      </c>
    </row>
    <row r="447" spans="1:17" ht="36.75" customHeight="1" x14ac:dyDescent="0.25">
      <c r="A447" s="111"/>
      <c r="B447" s="112" t="s">
        <v>2095</v>
      </c>
      <c r="C447" s="398"/>
      <c r="D447" s="395"/>
      <c r="E447" s="113"/>
      <c r="F447" s="72"/>
      <c r="G447" s="96" t="s">
        <v>451</v>
      </c>
      <c r="H447" s="97" t="s">
        <v>124</v>
      </c>
      <c r="I447" s="87">
        <f t="shared" si="43"/>
        <v>1736068.6101694915</v>
      </c>
      <c r="J447" s="87">
        <v>2048560.96</v>
      </c>
      <c r="K447" s="42"/>
      <c r="L447" s="42"/>
      <c r="M447" s="42">
        <f t="shared" si="44"/>
        <v>1736068.6101694915</v>
      </c>
      <c r="N447" s="42">
        <v>2048560.96</v>
      </c>
      <c r="O447" s="42"/>
      <c r="P447" s="42">
        <f t="shared" si="45"/>
        <v>1736068.6101694915</v>
      </c>
      <c r="Q447" s="42">
        <f t="shared" si="40"/>
        <v>2048560.96</v>
      </c>
    </row>
    <row r="448" spans="1:17" ht="47.25" customHeight="1" x14ac:dyDescent="0.25">
      <c r="A448" s="111"/>
      <c r="B448" s="112" t="s">
        <v>2096</v>
      </c>
      <c r="C448" s="398"/>
      <c r="D448" s="395"/>
      <c r="E448" s="113"/>
      <c r="F448" s="72"/>
      <c r="G448" s="40" t="s">
        <v>452</v>
      </c>
      <c r="H448" s="41" t="s">
        <v>145</v>
      </c>
      <c r="I448" s="42">
        <f t="shared" si="43"/>
        <v>1751950.3305084745</v>
      </c>
      <c r="J448" s="42">
        <v>2067301.39</v>
      </c>
      <c r="K448" s="42"/>
      <c r="L448" s="42"/>
      <c r="M448" s="42">
        <f t="shared" si="44"/>
        <v>1751950.3305084745</v>
      </c>
      <c r="N448" s="42">
        <v>2067301.39</v>
      </c>
      <c r="O448" s="42"/>
      <c r="P448" s="42">
        <f t="shared" si="45"/>
        <v>1751950.3305084745</v>
      </c>
      <c r="Q448" s="42">
        <f t="shared" si="40"/>
        <v>2067301.39</v>
      </c>
    </row>
    <row r="449" spans="1:17" ht="38.25" customHeight="1" x14ac:dyDescent="0.25">
      <c r="A449" s="111"/>
      <c r="B449" s="112" t="s">
        <v>2097</v>
      </c>
      <c r="C449" s="399"/>
      <c r="D449" s="396"/>
      <c r="E449" s="113"/>
      <c r="F449" s="72"/>
      <c r="G449" s="40" t="s">
        <v>453</v>
      </c>
      <c r="H449" s="41" t="s">
        <v>146</v>
      </c>
      <c r="I449" s="42">
        <f t="shared" si="43"/>
        <v>1873406.9661016951</v>
      </c>
      <c r="J449" s="42">
        <v>2210620.2200000002</v>
      </c>
      <c r="K449" s="42"/>
      <c r="L449" s="42"/>
      <c r="M449" s="42">
        <f t="shared" si="44"/>
        <v>1873406.9661016951</v>
      </c>
      <c r="N449" s="42">
        <v>2210620.2200000002</v>
      </c>
      <c r="O449" s="42"/>
      <c r="P449" s="42">
        <f t="shared" si="45"/>
        <v>1873406.9661016951</v>
      </c>
      <c r="Q449" s="42">
        <f t="shared" si="40"/>
        <v>2210620.2200000002</v>
      </c>
    </row>
    <row r="450" spans="1:17" ht="30" customHeight="1" x14ac:dyDescent="0.25">
      <c r="A450" s="9"/>
      <c r="B450" s="11" t="s">
        <v>2098</v>
      </c>
      <c r="C450" s="37" t="s">
        <v>848</v>
      </c>
      <c r="D450" s="38" t="s">
        <v>128</v>
      </c>
      <c r="E450" s="38"/>
      <c r="F450" s="72"/>
      <c r="G450" s="40" t="s">
        <v>456</v>
      </c>
      <c r="H450" s="41" t="s">
        <v>276</v>
      </c>
      <c r="I450" s="42">
        <v>147862</v>
      </c>
      <c r="J450" s="42">
        <v>147862</v>
      </c>
      <c r="K450" s="42"/>
      <c r="L450" s="42"/>
      <c r="M450" s="42">
        <f t="shared" si="41"/>
        <v>147862</v>
      </c>
      <c r="N450" s="42">
        <v>147862</v>
      </c>
      <c r="O450" s="42"/>
      <c r="P450" s="42">
        <f t="shared" si="42"/>
        <v>147862</v>
      </c>
      <c r="Q450" s="42">
        <f t="shared" si="40"/>
        <v>147862</v>
      </c>
    </row>
    <row r="451" spans="1:17" ht="35.25" customHeight="1" x14ac:dyDescent="0.25">
      <c r="A451" s="9"/>
      <c r="B451" s="11" t="s">
        <v>2099</v>
      </c>
      <c r="C451" s="37" t="s">
        <v>849</v>
      </c>
      <c r="D451" s="38" t="s">
        <v>387</v>
      </c>
      <c r="E451" s="38"/>
      <c r="F451" s="72"/>
      <c r="G451" s="96" t="s">
        <v>457</v>
      </c>
      <c r="H451" s="97" t="s">
        <v>257</v>
      </c>
      <c r="I451" s="87">
        <v>119520</v>
      </c>
      <c r="J451" s="87">
        <v>119520</v>
      </c>
      <c r="K451" s="42"/>
      <c r="L451" s="42"/>
      <c r="M451" s="42">
        <f t="shared" si="41"/>
        <v>119520</v>
      </c>
      <c r="N451" s="42">
        <v>119520</v>
      </c>
      <c r="O451" s="42"/>
      <c r="P451" s="42">
        <f t="shared" si="42"/>
        <v>119520</v>
      </c>
      <c r="Q451" s="42">
        <f t="shared" si="40"/>
        <v>119520</v>
      </c>
    </row>
    <row r="452" spans="1:17" ht="36.75" customHeight="1" x14ac:dyDescent="0.25">
      <c r="A452" s="111"/>
      <c r="B452" s="112" t="s">
        <v>2100</v>
      </c>
      <c r="C452" s="89" t="s">
        <v>851</v>
      </c>
      <c r="D452" s="113" t="s">
        <v>850</v>
      </c>
      <c r="E452" s="113"/>
      <c r="F452" s="72"/>
      <c r="G452" s="40" t="s">
        <v>458</v>
      </c>
      <c r="H452" s="41" t="s">
        <v>221</v>
      </c>
      <c r="I452" s="42">
        <f>M452</f>
        <v>51664.440677966108</v>
      </c>
      <c r="J452" s="42">
        <v>60964.04</v>
      </c>
      <c r="K452" s="42"/>
      <c r="L452" s="42"/>
      <c r="M452" s="42">
        <f>P452</f>
        <v>51664.440677966108</v>
      </c>
      <c r="N452" s="42">
        <v>60964.04</v>
      </c>
      <c r="O452" s="42"/>
      <c r="P452" s="42">
        <f>Q452/1.18</f>
        <v>51664.440677966108</v>
      </c>
      <c r="Q452" s="42">
        <f t="shared" si="40"/>
        <v>60964.04</v>
      </c>
    </row>
    <row r="453" spans="1:17" ht="36.75" customHeight="1" x14ac:dyDescent="0.25">
      <c r="A453" s="9"/>
      <c r="B453" s="11" t="s">
        <v>2101</v>
      </c>
      <c r="C453" s="37" t="s">
        <v>852</v>
      </c>
      <c r="D453" s="38" t="s">
        <v>803</v>
      </c>
      <c r="E453" s="38"/>
      <c r="F453" s="72"/>
      <c r="G453" s="40" t="s">
        <v>459</v>
      </c>
      <c r="H453" s="41" t="s">
        <v>119</v>
      </c>
      <c r="I453" s="42">
        <v>133744.03</v>
      </c>
      <c r="J453" s="42">
        <v>133744.03</v>
      </c>
      <c r="K453" s="42"/>
      <c r="L453" s="42"/>
      <c r="M453" s="42">
        <f t="shared" si="41"/>
        <v>133744.03</v>
      </c>
      <c r="N453" s="42">
        <v>133744.03</v>
      </c>
      <c r="O453" s="42"/>
      <c r="P453" s="42">
        <f t="shared" si="42"/>
        <v>133744.03</v>
      </c>
      <c r="Q453" s="42">
        <f t="shared" si="40"/>
        <v>133744.03</v>
      </c>
    </row>
    <row r="454" spans="1:17" ht="32.25" customHeight="1" x14ac:dyDescent="0.25">
      <c r="A454" s="9"/>
      <c r="B454" s="11" t="s">
        <v>2102</v>
      </c>
      <c r="C454" s="37" t="s">
        <v>853</v>
      </c>
      <c r="D454" s="38" t="s">
        <v>612</v>
      </c>
      <c r="E454" s="38"/>
      <c r="F454" s="72"/>
      <c r="G454" s="40" t="s">
        <v>460</v>
      </c>
      <c r="H454" s="41" t="s">
        <v>128</v>
      </c>
      <c r="I454" s="42">
        <v>31835.62</v>
      </c>
      <c r="J454" s="42">
        <v>37566.03</v>
      </c>
      <c r="K454" s="42"/>
      <c r="L454" s="42"/>
      <c r="M454" s="42">
        <v>31835.62</v>
      </c>
      <c r="N454" s="42">
        <v>37566.03</v>
      </c>
      <c r="O454" s="42"/>
      <c r="P454" s="42">
        <v>31835.62</v>
      </c>
      <c r="Q454" s="42">
        <f t="shared" si="40"/>
        <v>37566.03</v>
      </c>
    </row>
    <row r="455" spans="1:17" ht="36.75" customHeight="1" x14ac:dyDescent="0.25">
      <c r="A455" s="9"/>
      <c r="B455" s="11" t="s">
        <v>2103</v>
      </c>
      <c r="C455" s="55" t="s">
        <v>855</v>
      </c>
      <c r="D455" s="38" t="s">
        <v>854</v>
      </c>
      <c r="E455" s="38"/>
      <c r="F455" s="72"/>
      <c r="G455" s="40" t="s">
        <v>461</v>
      </c>
      <c r="H455" s="41" t="s">
        <v>119</v>
      </c>
      <c r="I455" s="42">
        <v>300000</v>
      </c>
      <c r="J455" s="42">
        <v>300000</v>
      </c>
      <c r="K455" s="42"/>
      <c r="L455" s="42"/>
      <c r="M455" s="42">
        <f t="shared" ref="M455:M482" si="46">J455</f>
        <v>300000</v>
      </c>
      <c r="N455" s="42">
        <v>300000</v>
      </c>
      <c r="O455" s="42"/>
      <c r="P455" s="42">
        <f t="shared" si="42"/>
        <v>300000</v>
      </c>
      <c r="Q455" s="42">
        <f t="shared" si="40"/>
        <v>300000</v>
      </c>
    </row>
    <row r="456" spans="1:17" ht="37.5" customHeight="1" x14ac:dyDescent="0.25">
      <c r="A456" s="9"/>
      <c r="B456" s="11" t="s">
        <v>2104</v>
      </c>
      <c r="C456" s="37" t="s">
        <v>856</v>
      </c>
      <c r="D456" s="38" t="s">
        <v>612</v>
      </c>
      <c r="E456" s="38"/>
      <c r="F456" s="72"/>
      <c r="G456" s="40" t="s">
        <v>463</v>
      </c>
      <c r="H456" s="41" t="s">
        <v>128</v>
      </c>
      <c r="I456" s="42">
        <v>50594.73</v>
      </c>
      <c r="J456" s="42">
        <v>50594.73</v>
      </c>
      <c r="K456" s="42"/>
      <c r="L456" s="42"/>
      <c r="M456" s="42">
        <f t="shared" si="46"/>
        <v>50594.73</v>
      </c>
      <c r="N456" s="42">
        <v>50594.73</v>
      </c>
      <c r="O456" s="42"/>
      <c r="P456" s="42">
        <f t="shared" si="42"/>
        <v>50594.73</v>
      </c>
      <c r="Q456" s="42">
        <f t="shared" si="40"/>
        <v>50594.73</v>
      </c>
    </row>
    <row r="457" spans="1:17" ht="63.75" customHeight="1" x14ac:dyDescent="0.25">
      <c r="A457" s="9"/>
      <c r="B457" s="11" t="s">
        <v>2105</v>
      </c>
      <c r="C457" s="37" t="s">
        <v>858</v>
      </c>
      <c r="D457" s="38" t="s">
        <v>857</v>
      </c>
      <c r="E457" s="38"/>
      <c r="F457" s="72"/>
      <c r="G457" s="40" t="s">
        <v>464</v>
      </c>
      <c r="H457" s="41" t="s">
        <v>191</v>
      </c>
      <c r="I457" s="42">
        <f>M457</f>
        <v>832837.70338983054</v>
      </c>
      <c r="J457" s="42">
        <v>982748.49</v>
      </c>
      <c r="K457" s="42"/>
      <c r="L457" s="42"/>
      <c r="M457" s="42">
        <f>P457</f>
        <v>832837.70338983054</v>
      </c>
      <c r="N457" s="42">
        <v>982748.49</v>
      </c>
      <c r="O457" s="42"/>
      <c r="P457" s="42">
        <f>Q457/1.18</f>
        <v>832837.70338983054</v>
      </c>
      <c r="Q457" s="42">
        <f t="shared" si="40"/>
        <v>982748.49</v>
      </c>
    </row>
    <row r="458" spans="1:17" ht="37.5" customHeight="1" x14ac:dyDescent="0.25">
      <c r="A458" s="9"/>
      <c r="B458" s="11" t="s">
        <v>2106</v>
      </c>
      <c r="C458" s="37" t="s">
        <v>860</v>
      </c>
      <c r="D458" s="38" t="s">
        <v>859</v>
      </c>
      <c r="E458" s="38"/>
      <c r="F458" s="72"/>
      <c r="G458" s="96" t="s">
        <v>465</v>
      </c>
      <c r="H458" s="97" t="s">
        <v>123</v>
      </c>
      <c r="I458" s="87">
        <f t="shared" ref="I458:I459" si="47">M458</f>
        <v>161016.94915254239</v>
      </c>
      <c r="J458" s="87">
        <v>190000</v>
      </c>
      <c r="K458" s="42"/>
      <c r="L458" s="42"/>
      <c r="M458" s="42">
        <f t="shared" ref="M458:M459" si="48">P458</f>
        <v>161016.94915254239</v>
      </c>
      <c r="N458" s="42">
        <v>190000</v>
      </c>
      <c r="O458" s="42"/>
      <c r="P458" s="42">
        <f t="shared" ref="P458:P459" si="49">Q458/1.18</f>
        <v>161016.94915254239</v>
      </c>
      <c r="Q458" s="42">
        <f t="shared" si="40"/>
        <v>190000</v>
      </c>
    </row>
    <row r="459" spans="1:17" ht="42" customHeight="1" x14ac:dyDescent="0.25">
      <c r="A459" s="9"/>
      <c r="B459" s="11" t="s">
        <v>2107</v>
      </c>
      <c r="C459" s="37" t="s">
        <v>860</v>
      </c>
      <c r="D459" s="38" t="s">
        <v>859</v>
      </c>
      <c r="E459" s="38"/>
      <c r="F459" s="72"/>
      <c r="G459" s="96" t="s">
        <v>466</v>
      </c>
      <c r="H459" s="97" t="s">
        <v>124</v>
      </c>
      <c r="I459" s="87">
        <f t="shared" si="47"/>
        <v>155134.34745762713</v>
      </c>
      <c r="J459" s="87">
        <v>183058.53</v>
      </c>
      <c r="K459" s="42"/>
      <c r="L459" s="42"/>
      <c r="M459" s="42">
        <f t="shared" si="48"/>
        <v>155134.34745762713</v>
      </c>
      <c r="N459" s="42">
        <v>183058.53</v>
      </c>
      <c r="O459" s="42"/>
      <c r="P459" s="42">
        <f t="shared" si="49"/>
        <v>155134.34745762713</v>
      </c>
      <c r="Q459" s="42">
        <f t="shared" si="40"/>
        <v>183058.53</v>
      </c>
    </row>
    <row r="460" spans="1:17" ht="29.25" customHeight="1" x14ac:dyDescent="0.25">
      <c r="A460" s="9"/>
      <c r="B460" s="11" t="s">
        <v>2108</v>
      </c>
      <c r="C460" s="412" t="s">
        <v>862</v>
      </c>
      <c r="D460" s="412" t="s">
        <v>861</v>
      </c>
      <c r="E460" s="38"/>
      <c r="F460" s="72"/>
      <c r="G460" s="40" t="s">
        <v>467</v>
      </c>
      <c r="H460" s="41" t="s">
        <v>256</v>
      </c>
      <c r="I460" s="42">
        <v>8000000</v>
      </c>
      <c r="J460" s="42">
        <v>8000000</v>
      </c>
      <c r="K460" s="42"/>
      <c r="L460" s="42"/>
      <c r="M460" s="42">
        <f t="shared" si="46"/>
        <v>8000000</v>
      </c>
      <c r="N460" s="42">
        <v>8000000</v>
      </c>
      <c r="O460" s="42"/>
      <c r="P460" s="42">
        <f t="shared" si="42"/>
        <v>8000000</v>
      </c>
      <c r="Q460" s="42">
        <f t="shared" si="40"/>
        <v>8000000</v>
      </c>
    </row>
    <row r="461" spans="1:17" ht="27" customHeight="1" x14ac:dyDescent="0.25">
      <c r="A461" s="9"/>
      <c r="B461" s="11" t="s">
        <v>2108</v>
      </c>
      <c r="C461" s="413"/>
      <c r="D461" s="413"/>
      <c r="E461" s="38"/>
      <c r="F461" s="72"/>
      <c r="G461" s="40" t="s">
        <v>468</v>
      </c>
      <c r="H461" s="41" t="s">
        <v>169</v>
      </c>
      <c r="I461" s="42">
        <v>6000000</v>
      </c>
      <c r="J461" s="42">
        <v>6000000</v>
      </c>
      <c r="K461" s="42"/>
      <c r="L461" s="42"/>
      <c r="M461" s="42">
        <f t="shared" si="46"/>
        <v>6000000</v>
      </c>
      <c r="N461" s="42">
        <v>6000000</v>
      </c>
      <c r="O461" s="42"/>
      <c r="P461" s="42">
        <f t="shared" si="42"/>
        <v>6000000</v>
      </c>
      <c r="Q461" s="42">
        <f t="shared" si="40"/>
        <v>6000000</v>
      </c>
    </row>
    <row r="462" spans="1:17" ht="33" customHeight="1" x14ac:dyDescent="0.25">
      <c r="A462" s="9"/>
      <c r="B462" s="11" t="s">
        <v>2109</v>
      </c>
      <c r="C462" s="414"/>
      <c r="D462" s="414"/>
      <c r="E462" s="38"/>
      <c r="F462" s="72"/>
      <c r="G462" s="40" t="s">
        <v>469</v>
      </c>
      <c r="H462" s="41" t="s">
        <v>120</v>
      </c>
      <c r="I462" s="42">
        <v>4000000</v>
      </c>
      <c r="J462" s="42">
        <v>4000000</v>
      </c>
      <c r="K462" s="42"/>
      <c r="L462" s="42"/>
      <c r="M462" s="42">
        <f t="shared" si="46"/>
        <v>4000000</v>
      </c>
      <c r="N462" s="42">
        <v>4000000</v>
      </c>
      <c r="O462" s="42"/>
      <c r="P462" s="42">
        <f t="shared" si="42"/>
        <v>4000000</v>
      </c>
      <c r="Q462" s="42">
        <f t="shared" si="40"/>
        <v>4000000</v>
      </c>
    </row>
    <row r="463" spans="1:17" ht="34.5" customHeight="1" x14ac:dyDescent="0.25">
      <c r="A463" s="9"/>
      <c r="B463" s="11" t="s">
        <v>2110</v>
      </c>
      <c r="C463" s="37" t="s">
        <v>864</v>
      </c>
      <c r="D463" s="38" t="s">
        <v>863</v>
      </c>
      <c r="E463" s="38"/>
      <c r="F463" s="72"/>
      <c r="G463" s="40" t="s">
        <v>470</v>
      </c>
      <c r="H463" s="41" t="s">
        <v>120</v>
      </c>
      <c r="I463" s="42">
        <v>27292</v>
      </c>
      <c r="J463" s="42">
        <v>27292</v>
      </c>
      <c r="K463" s="42"/>
      <c r="L463" s="42"/>
      <c r="M463" s="42">
        <f t="shared" si="46"/>
        <v>27292</v>
      </c>
      <c r="N463" s="42">
        <v>27292</v>
      </c>
      <c r="O463" s="42"/>
      <c r="P463" s="42">
        <f t="shared" si="42"/>
        <v>27292</v>
      </c>
      <c r="Q463" s="42">
        <f t="shared" si="40"/>
        <v>27292</v>
      </c>
    </row>
    <row r="464" spans="1:17" ht="31.5" customHeight="1" x14ac:dyDescent="0.25">
      <c r="A464" s="111"/>
      <c r="B464" s="112" t="s">
        <v>2111</v>
      </c>
      <c r="C464" s="132" t="s">
        <v>866</v>
      </c>
      <c r="D464" s="113" t="s">
        <v>865</v>
      </c>
      <c r="E464" s="113"/>
      <c r="F464" s="89"/>
      <c r="G464" s="40" t="s">
        <v>471</v>
      </c>
      <c r="H464" s="41" t="s">
        <v>104</v>
      </c>
      <c r="I464" s="42">
        <v>1425831.06</v>
      </c>
      <c r="J464" s="42">
        <v>1425831.06</v>
      </c>
      <c r="K464" s="42"/>
      <c r="L464" s="42"/>
      <c r="M464" s="42">
        <f t="shared" si="46"/>
        <v>1425831.06</v>
      </c>
      <c r="N464" s="42">
        <v>1425831.06</v>
      </c>
      <c r="O464" s="42"/>
      <c r="P464" s="42">
        <f t="shared" si="42"/>
        <v>1425831.06</v>
      </c>
      <c r="Q464" s="42">
        <f t="shared" si="40"/>
        <v>1425831.06</v>
      </c>
    </row>
    <row r="465" spans="1:17" ht="31.5" customHeight="1" x14ac:dyDescent="0.25">
      <c r="A465" s="9"/>
      <c r="B465" s="11" t="s">
        <v>2112</v>
      </c>
      <c r="C465" s="37" t="s">
        <v>868</v>
      </c>
      <c r="D465" s="38" t="s">
        <v>867</v>
      </c>
      <c r="E465" s="38"/>
      <c r="F465" s="72"/>
      <c r="G465" s="40" t="s">
        <v>475</v>
      </c>
      <c r="H465" s="41" t="s">
        <v>119</v>
      </c>
      <c r="I465" s="42">
        <v>78560</v>
      </c>
      <c r="J465" s="42">
        <v>78560</v>
      </c>
      <c r="K465" s="42"/>
      <c r="L465" s="42"/>
      <c r="M465" s="42">
        <f t="shared" si="46"/>
        <v>78560</v>
      </c>
      <c r="N465" s="42">
        <v>78560</v>
      </c>
      <c r="O465" s="42"/>
      <c r="P465" s="42">
        <f t="shared" si="42"/>
        <v>78560</v>
      </c>
      <c r="Q465" s="42">
        <f t="shared" si="40"/>
        <v>78560</v>
      </c>
    </row>
    <row r="466" spans="1:17" ht="38.25" customHeight="1" x14ac:dyDescent="0.25">
      <c r="A466" s="111"/>
      <c r="B466" s="112" t="s">
        <v>2113</v>
      </c>
      <c r="C466" s="88">
        <v>29</v>
      </c>
      <c r="D466" s="113" t="s">
        <v>869</v>
      </c>
      <c r="E466" s="113"/>
      <c r="F466" s="72"/>
      <c r="G466" s="40" t="s">
        <v>489</v>
      </c>
      <c r="H466" s="41" t="s">
        <v>221</v>
      </c>
      <c r="I466" s="42">
        <f>M466</f>
        <v>211864.40677966102</v>
      </c>
      <c r="J466" s="42">
        <v>250000</v>
      </c>
      <c r="K466" s="42"/>
      <c r="L466" s="42"/>
      <c r="M466" s="42">
        <f>P466</f>
        <v>211864.40677966102</v>
      </c>
      <c r="N466" s="42">
        <v>250000</v>
      </c>
      <c r="O466" s="42"/>
      <c r="P466" s="42">
        <f>Q466/1.18</f>
        <v>211864.40677966102</v>
      </c>
      <c r="Q466" s="42">
        <f t="shared" si="40"/>
        <v>250000</v>
      </c>
    </row>
    <row r="467" spans="1:17" ht="46.5" customHeight="1" x14ac:dyDescent="0.25">
      <c r="A467" s="111"/>
      <c r="B467" s="112" t="s">
        <v>2114</v>
      </c>
      <c r="C467" s="88">
        <v>27</v>
      </c>
      <c r="D467" s="113" t="s">
        <v>360</v>
      </c>
      <c r="E467" s="113"/>
      <c r="F467" s="72"/>
      <c r="G467" s="40" t="s">
        <v>496</v>
      </c>
      <c r="H467" s="41" t="s">
        <v>115</v>
      </c>
      <c r="I467" s="42">
        <f>P467</f>
        <v>338983.05084745766</v>
      </c>
      <c r="J467" s="42">
        <v>400000</v>
      </c>
      <c r="K467" s="42"/>
      <c r="L467" s="42"/>
      <c r="M467" s="42">
        <f>P467</f>
        <v>338983.05084745766</v>
      </c>
      <c r="N467" s="42">
        <v>400000</v>
      </c>
      <c r="O467" s="42"/>
      <c r="P467" s="42">
        <f>Q467/1.18</f>
        <v>338983.05084745766</v>
      </c>
      <c r="Q467" s="42">
        <f t="shared" si="40"/>
        <v>400000</v>
      </c>
    </row>
    <row r="468" spans="1:17" s="124" customFormat="1" ht="37.5" customHeight="1" x14ac:dyDescent="0.25">
      <c r="A468" s="115"/>
      <c r="B468" s="116" t="s">
        <v>2115</v>
      </c>
      <c r="C468" s="119" t="s">
        <v>870</v>
      </c>
      <c r="D468" s="118" t="s">
        <v>162</v>
      </c>
      <c r="E468" s="118"/>
      <c r="F468" s="119"/>
      <c r="G468" s="120" t="s">
        <v>497</v>
      </c>
      <c r="H468" s="121" t="s">
        <v>229</v>
      </c>
      <c r="I468" s="122">
        <v>925630.35</v>
      </c>
      <c r="J468" s="122">
        <v>925630.35</v>
      </c>
      <c r="K468" s="122" t="s">
        <v>2144</v>
      </c>
      <c r="L468" s="122"/>
      <c r="M468" s="122">
        <f t="shared" si="46"/>
        <v>925630.35</v>
      </c>
      <c r="N468" s="122">
        <v>925630.35</v>
      </c>
      <c r="O468" s="122"/>
      <c r="P468" s="122">
        <f t="shared" si="42"/>
        <v>925630.35</v>
      </c>
      <c r="Q468" s="122">
        <f t="shared" si="40"/>
        <v>925630.35</v>
      </c>
    </row>
    <row r="469" spans="1:17" s="124" customFormat="1" ht="39.75" customHeight="1" x14ac:dyDescent="0.25">
      <c r="A469" s="115"/>
      <c r="B469" s="116" t="s">
        <v>2116</v>
      </c>
      <c r="C469" s="119" t="s">
        <v>870</v>
      </c>
      <c r="D469" s="118" t="s">
        <v>162</v>
      </c>
      <c r="E469" s="118"/>
      <c r="F469" s="119"/>
      <c r="G469" s="120" t="s">
        <v>498</v>
      </c>
      <c r="H469" s="121" t="s">
        <v>105</v>
      </c>
      <c r="I469" s="122">
        <v>740504.28</v>
      </c>
      <c r="J469" s="122">
        <v>740504.28</v>
      </c>
      <c r="K469" s="122" t="s">
        <v>2144</v>
      </c>
      <c r="L469" s="122"/>
      <c r="M469" s="122">
        <f t="shared" si="46"/>
        <v>740504.28</v>
      </c>
      <c r="N469" s="122">
        <v>740504.28</v>
      </c>
      <c r="O469" s="122"/>
      <c r="P469" s="122">
        <f t="shared" si="42"/>
        <v>740504.28</v>
      </c>
      <c r="Q469" s="122">
        <f t="shared" si="40"/>
        <v>740504.28</v>
      </c>
    </row>
    <row r="470" spans="1:17" ht="33.75" customHeight="1" x14ac:dyDescent="0.25">
      <c r="A470" s="9"/>
      <c r="B470" s="11" t="s">
        <v>2117</v>
      </c>
      <c r="C470" s="37" t="s">
        <v>872</v>
      </c>
      <c r="D470" s="38" t="s">
        <v>871</v>
      </c>
      <c r="E470" s="38"/>
      <c r="F470" s="72"/>
      <c r="G470" s="40" t="s">
        <v>499</v>
      </c>
      <c r="H470" s="41" t="s">
        <v>501</v>
      </c>
      <c r="I470" s="42">
        <v>259770.43</v>
      </c>
      <c r="J470" s="42">
        <v>259770.43</v>
      </c>
      <c r="K470" s="42"/>
      <c r="L470" s="42"/>
      <c r="M470" s="42">
        <f t="shared" si="46"/>
        <v>259770.43</v>
      </c>
      <c r="N470" s="42">
        <v>259770.43</v>
      </c>
      <c r="O470" s="42"/>
      <c r="P470" s="42">
        <f t="shared" ref="P470:P533" si="50">M470</f>
        <v>259770.43</v>
      </c>
      <c r="Q470" s="42">
        <f t="shared" ref="Q470:Q964" si="51">N470</f>
        <v>259770.43</v>
      </c>
    </row>
    <row r="471" spans="1:17" ht="27.75" customHeight="1" x14ac:dyDescent="0.25">
      <c r="A471" s="9"/>
      <c r="B471" s="11" t="s">
        <v>2117</v>
      </c>
      <c r="C471" s="37" t="s">
        <v>873</v>
      </c>
      <c r="D471" s="38" t="s">
        <v>871</v>
      </c>
      <c r="E471" s="38"/>
      <c r="F471" s="72"/>
      <c r="G471" s="96" t="s">
        <v>500</v>
      </c>
      <c r="H471" s="97" t="s">
        <v>203</v>
      </c>
      <c r="I471" s="87">
        <v>253042.43</v>
      </c>
      <c r="J471" s="87">
        <v>253042.43</v>
      </c>
      <c r="K471" s="42"/>
      <c r="L471" s="42"/>
      <c r="M471" s="42">
        <f t="shared" si="46"/>
        <v>253042.43</v>
      </c>
      <c r="N471" s="42">
        <v>253042.43</v>
      </c>
      <c r="O471" s="42"/>
      <c r="P471" s="42">
        <f t="shared" si="50"/>
        <v>253042.43</v>
      </c>
      <c r="Q471" s="42">
        <f t="shared" si="51"/>
        <v>253042.43</v>
      </c>
    </row>
    <row r="472" spans="1:17" ht="27.75" customHeight="1" x14ac:dyDescent="0.25">
      <c r="A472" s="111"/>
      <c r="B472" s="112" t="s">
        <v>2118</v>
      </c>
      <c r="C472" s="397" t="s">
        <v>874</v>
      </c>
      <c r="D472" s="394" t="s">
        <v>823</v>
      </c>
      <c r="E472" s="113"/>
      <c r="F472" s="72"/>
      <c r="G472" s="40" t="s">
        <v>502</v>
      </c>
      <c r="H472" s="41" t="s">
        <v>229</v>
      </c>
      <c r="I472" s="42">
        <f>M472</f>
        <v>313559.32203389832</v>
      </c>
      <c r="J472" s="42">
        <v>370000</v>
      </c>
      <c r="K472" s="42"/>
      <c r="L472" s="42"/>
      <c r="M472" s="42">
        <f>P472</f>
        <v>313559.32203389832</v>
      </c>
      <c r="N472" s="42">
        <v>370000</v>
      </c>
      <c r="O472" s="42"/>
      <c r="P472" s="42">
        <f>Q472/1.18</f>
        <v>313559.32203389832</v>
      </c>
      <c r="Q472" s="42">
        <f t="shared" si="51"/>
        <v>370000</v>
      </c>
    </row>
    <row r="473" spans="1:17" ht="44.25" customHeight="1" x14ac:dyDescent="0.25">
      <c r="A473" s="111"/>
      <c r="B473" s="112" t="s">
        <v>2119</v>
      </c>
      <c r="C473" s="398"/>
      <c r="D473" s="395"/>
      <c r="E473" s="113"/>
      <c r="F473" s="72"/>
      <c r="G473" s="40" t="s">
        <v>503</v>
      </c>
      <c r="H473" s="41" t="s">
        <v>394</v>
      </c>
      <c r="I473" s="42">
        <f t="shared" ref="I473:I478" si="52">M473</f>
        <v>599915.25423728814</v>
      </c>
      <c r="J473" s="42">
        <v>707900</v>
      </c>
      <c r="K473" s="42"/>
      <c r="L473" s="42"/>
      <c r="M473" s="42">
        <f t="shared" ref="M473:M478" si="53">P473</f>
        <v>599915.25423728814</v>
      </c>
      <c r="N473" s="42">
        <v>707900</v>
      </c>
      <c r="O473" s="42"/>
      <c r="P473" s="42">
        <f t="shared" ref="P473:P478" si="54">Q473/1.18</f>
        <v>599915.25423728814</v>
      </c>
      <c r="Q473" s="42">
        <f t="shared" si="51"/>
        <v>707900</v>
      </c>
    </row>
    <row r="474" spans="1:17" ht="45.75" customHeight="1" x14ac:dyDescent="0.25">
      <c r="A474" s="111"/>
      <c r="B474" s="112" t="s">
        <v>2120</v>
      </c>
      <c r="C474" s="399"/>
      <c r="D474" s="396"/>
      <c r="E474" s="113"/>
      <c r="F474" s="72"/>
      <c r="G474" s="96" t="s">
        <v>504</v>
      </c>
      <c r="H474" s="97" t="s">
        <v>202</v>
      </c>
      <c r="I474" s="87">
        <f t="shared" si="52"/>
        <v>1693220.338983051</v>
      </c>
      <c r="J474" s="87">
        <v>1998000</v>
      </c>
      <c r="K474" s="42"/>
      <c r="L474" s="42"/>
      <c r="M474" s="42">
        <f t="shared" si="53"/>
        <v>1693220.338983051</v>
      </c>
      <c r="N474" s="42">
        <v>1998000</v>
      </c>
      <c r="O474" s="42"/>
      <c r="P474" s="42">
        <f t="shared" si="54"/>
        <v>1693220.338983051</v>
      </c>
      <c r="Q474" s="42">
        <f t="shared" si="51"/>
        <v>1998000</v>
      </c>
    </row>
    <row r="475" spans="1:17" ht="42" customHeight="1" x14ac:dyDescent="0.25">
      <c r="A475" s="111"/>
      <c r="B475" s="112" t="s">
        <v>2121</v>
      </c>
      <c r="C475" s="89" t="s">
        <v>875</v>
      </c>
      <c r="D475" s="113" t="s">
        <v>257</v>
      </c>
      <c r="E475" s="113"/>
      <c r="F475" s="72"/>
      <c r="G475" s="40" t="s">
        <v>505</v>
      </c>
      <c r="H475" s="41" t="s">
        <v>120</v>
      </c>
      <c r="I475" s="42">
        <f t="shared" si="52"/>
        <v>160944.06779661018</v>
      </c>
      <c r="J475" s="42">
        <v>189914</v>
      </c>
      <c r="K475" s="42"/>
      <c r="L475" s="42"/>
      <c r="M475" s="42">
        <f t="shared" si="53"/>
        <v>160944.06779661018</v>
      </c>
      <c r="N475" s="42">
        <v>189914</v>
      </c>
      <c r="O475" s="42"/>
      <c r="P475" s="42">
        <f t="shared" si="54"/>
        <v>160944.06779661018</v>
      </c>
      <c r="Q475" s="42">
        <f t="shared" si="51"/>
        <v>189914</v>
      </c>
    </row>
    <row r="476" spans="1:17" ht="47.25" customHeight="1" x14ac:dyDescent="0.25">
      <c r="A476" s="111"/>
      <c r="B476" s="112" t="s">
        <v>2122</v>
      </c>
      <c r="C476" s="89" t="s">
        <v>877</v>
      </c>
      <c r="D476" s="113" t="s">
        <v>876</v>
      </c>
      <c r="E476" s="113"/>
      <c r="F476" s="72"/>
      <c r="G476" s="40" t="s">
        <v>506</v>
      </c>
      <c r="H476" s="41" t="s">
        <v>191</v>
      </c>
      <c r="I476" s="42">
        <f t="shared" si="52"/>
        <v>1693220.338983051</v>
      </c>
      <c r="J476" s="42">
        <v>1998000</v>
      </c>
      <c r="K476" s="42"/>
      <c r="L476" s="42"/>
      <c r="M476" s="42">
        <f t="shared" si="53"/>
        <v>1693220.338983051</v>
      </c>
      <c r="N476" s="42">
        <v>1998000</v>
      </c>
      <c r="O476" s="42"/>
      <c r="P476" s="42">
        <f t="shared" si="54"/>
        <v>1693220.338983051</v>
      </c>
      <c r="Q476" s="42">
        <f t="shared" si="51"/>
        <v>1998000</v>
      </c>
    </row>
    <row r="477" spans="1:17" ht="48" customHeight="1" x14ac:dyDescent="0.25">
      <c r="A477" s="111"/>
      <c r="B477" s="112" t="s">
        <v>2123</v>
      </c>
      <c r="C477" s="397" t="s">
        <v>878</v>
      </c>
      <c r="D477" s="394" t="s">
        <v>364</v>
      </c>
      <c r="E477" s="113"/>
      <c r="F477" s="72"/>
      <c r="G477" s="96" t="s">
        <v>507</v>
      </c>
      <c r="H477" s="97" t="s">
        <v>165</v>
      </c>
      <c r="I477" s="87">
        <f t="shared" si="52"/>
        <v>520125.85593220341</v>
      </c>
      <c r="J477" s="87">
        <v>613748.51</v>
      </c>
      <c r="K477" s="42"/>
      <c r="L477" s="42"/>
      <c r="M477" s="42">
        <f t="shared" si="53"/>
        <v>520125.85593220341</v>
      </c>
      <c r="N477" s="42">
        <v>613748.51</v>
      </c>
      <c r="O477" s="42"/>
      <c r="P477" s="42">
        <f t="shared" si="54"/>
        <v>520125.85593220341</v>
      </c>
      <c r="Q477" s="42">
        <f t="shared" si="51"/>
        <v>613748.51</v>
      </c>
    </row>
    <row r="478" spans="1:17" ht="54" customHeight="1" x14ac:dyDescent="0.25">
      <c r="A478" s="111"/>
      <c r="B478" s="112" t="s">
        <v>2124</v>
      </c>
      <c r="C478" s="399"/>
      <c r="D478" s="396"/>
      <c r="E478" s="113"/>
      <c r="F478" s="72"/>
      <c r="G478" s="96" t="s">
        <v>508</v>
      </c>
      <c r="H478" s="97" t="s">
        <v>123</v>
      </c>
      <c r="I478" s="87">
        <f t="shared" si="52"/>
        <v>520125.85593220341</v>
      </c>
      <c r="J478" s="87">
        <v>613748.51</v>
      </c>
      <c r="K478" s="42"/>
      <c r="L478" s="42"/>
      <c r="M478" s="42">
        <f t="shared" si="53"/>
        <v>520125.85593220341</v>
      </c>
      <c r="N478" s="42">
        <v>613748.51</v>
      </c>
      <c r="O478" s="42"/>
      <c r="P478" s="42">
        <f t="shared" si="54"/>
        <v>520125.85593220341</v>
      </c>
      <c r="Q478" s="42">
        <f t="shared" si="51"/>
        <v>613748.51</v>
      </c>
    </row>
    <row r="479" spans="1:17" ht="27.75" customHeight="1" x14ac:dyDescent="0.25">
      <c r="A479" s="9"/>
      <c r="B479" s="11" t="s">
        <v>2125</v>
      </c>
      <c r="C479" s="37" t="s">
        <v>879</v>
      </c>
      <c r="D479" s="38" t="s">
        <v>108</v>
      </c>
      <c r="E479" s="38"/>
      <c r="F479" s="72"/>
      <c r="G479" s="40" t="s">
        <v>522</v>
      </c>
      <c r="H479" s="41" t="s">
        <v>192</v>
      </c>
      <c r="I479" s="42">
        <f>M479</f>
        <v>93472.03389830509</v>
      </c>
      <c r="J479" s="42">
        <v>110297</v>
      </c>
      <c r="K479" s="42"/>
      <c r="L479" s="42"/>
      <c r="M479" s="42">
        <f>P479</f>
        <v>93472.03389830509</v>
      </c>
      <c r="N479" s="42">
        <v>110297</v>
      </c>
      <c r="O479" s="42"/>
      <c r="P479" s="42">
        <f>Q479/1.18</f>
        <v>93472.03389830509</v>
      </c>
      <c r="Q479" s="42">
        <f t="shared" si="51"/>
        <v>110297</v>
      </c>
    </row>
    <row r="480" spans="1:17" ht="36.75" customHeight="1" x14ac:dyDescent="0.25">
      <c r="A480" s="9"/>
      <c r="B480" s="11" t="s">
        <v>2126</v>
      </c>
      <c r="C480" s="37" t="s">
        <v>523</v>
      </c>
      <c r="D480" s="38"/>
      <c r="E480" s="38"/>
      <c r="F480" s="72"/>
      <c r="G480" s="34" t="s">
        <v>524</v>
      </c>
      <c r="H480" s="37" t="s">
        <v>119</v>
      </c>
      <c r="I480" s="42">
        <v>792904.39</v>
      </c>
      <c r="J480" s="42">
        <v>792904.39</v>
      </c>
      <c r="K480" s="42"/>
      <c r="L480" s="42"/>
      <c r="M480" s="42">
        <f t="shared" si="46"/>
        <v>792904.39</v>
      </c>
      <c r="N480" s="42">
        <v>792904.39</v>
      </c>
      <c r="O480" s="42"/>
      <c r="P480" s="42">
        <f t="shared" si="50"/>
        <v>792904.39</v>
      </c>
      <c r="Q480" s="42">
        <f t="shared" si="51"/>
        <v>792904.39</v>
      </c>
    </row>
    <row r="481" spans="1:17" ht="52.5" customHeight="1" x14ac:dyDescent="0.25">
      <c r="A481" s="9"/>
      <c r="B481" s="11" t="s">
        <v>2127</v>
      </c>
      <c r="C481" s="37"/>
      <c r="D481" s="38"/>
      <c r="E481" s="38"/>
      <c r="F481" s="72"/>
      <c r="G481" s="34" t="s">
        <v>525</v>
      </c>
      <c r="H481" s="37" t="s">
        <v>298</v>
      </c>
      <c r="I481" s="42">
        <v>61758</v>
      </c>
      <c r="J481" s="42">
        <v>61758</v>
      </c>
      <c r="K481" s="42"/>
      <c r="L481" s="42"/>
      <c r="M481" s="42">
        <f t="shared" si="46"/>
        <v>61758</v>
      </c>
      <c r="N481" s="42">
        <v>61758</v>
      </c>
      <c r="O481" s="42"/>
      <c r="P481" s="42">
        <f t="shared" si="50"/>
        <v>61758</v>
      </c>
      <c r="Q481" s="42">
        <f t="shared" si="51"/>
        <v>61758</v>
      </c>
    </row>
    <row r="482" spans="1:17" s="4" customFormat="1" ht="36.75" customHeight="1" x14ac:dyDescent="0.25">
      <c r="A482" s="18"/>
      <c r="B482" s="11" t="s">
        <v>2128</v>
      </c>
      <c r="C482" s="37" t="s">
        <v>296</v>
      </c>
      <c r="D482" s="38"/>
      <c r="E482" s="38"/>
      <c r="F482" s="72"/>
      <c r="G482" s="34" t="s">
        <v>297</v>
      </c>
      <c r="H482" s="37" t="s">
        <v>298</v>
      </c>
      <c r="I482" s="42">
        <v>475060</v>
      </c>
      <c r="J482" s="42">
        <v>475060</v>
      </c>
      <c r="K482" s="42"/>
      <c r="L482" s="42"/>
      <c r="M482" s="42">
        <f t="shared" si="46"/>
        <v>475060</v>
      </c>
      <c r="N482" s="42">
        <v>475060</v>
      </c>
      <c r="O482" s="42"/>
      <c r="P482" s="42">
        <f t="shared" si="50"/>
        <v>475060</v>
      </c>
      <c r="Q482" s="42">
        <f t="shared" si="51"/>
        <v>475060</v>
      </c>
    </row>
    <row r="483" spans="1:17" s="4" customFormat="1" ht="36.75" customHeight="1" x14ac:dyDescent="0.25">
      <c r="A483" s="18"/>
      <c r="B483" s="11" t="s">
        <v>880</v>
      </c>
      <c r="C483" s="37"/>
      <c r="D483" s="38"/>
      <c r="E483" s="38"/>
      <c r="F483" s="72">
        <v>39615</v>
      </c>
      <c r="G483" s="34" t="s">
        <v>921</v>
      </c>
      <c r="H483" s="37">
        <v>40763</v>
      </c>
      <c r="I483" s="42">
        <v>39615</v>
      </c>
      <c r="J483" s="42">
        <v>39615</v>
      </c>
      <c r="K483" s="42"/>
      <c r="L483" s="42"/>
      <c r="M483" s="42">
        <v>39615</v>
      </c>
      <c r="N483" s="42">
        <v>39615</v>
      </c>
      <c r="O483" s="42"/>
      <c r="P483" s="42">
        <f t="shared" si="50"/>
        <v>39615</v>
      </c>
      <c r="Q483" s="42">
        <v>39615</v>
      </c>
    </row>
    <row r="484" spans="1:17" s="4" customFormat="1" ht="36.75" customHeight="1" x14ac:dyDescent="0.25">
      <c r="A484" s="18"/>
      <c r="B484" s="11" t="s">
        <v>881</v>
      </c>
      <c r="C484" s="37"/>
      <c r="D484" s="38"/>
      <c r="E484" s="38"/>
      <c r="F484" s="72">
        <v>42240</v>
      </c>
      <c r="G484" s="34" t="s">
        <v>922</v>
      </c>
      <c r="H484" s="37">
        <v>40794</v>
      </c>
      <c r="I484" s="42">
        <v>42240</v>
      </c>
      <c r="J484" s="42">
        <v>42240</v>
      </c>
      <c r="K484" s="42"/>
      <c r="L484" s="42"/>
      <c r="M484" s="42">
        <v>42240</v>
      </c>
      <c r="N484" s="42">
        <v>42240</v>
      </c>
      <c r="O484" s="42"/>
      <c r="P484" s="42">
        <f t="shared" si="50"/>
        <v>42240</v>
      </c>
      <c r="Q484" s="42">
        <v>42240</v>
      </c>
    </row>
    <row r="485" spans="1:17" s="4" customFormat="1" ht="36.75" customHeight="1" x14ac:dyDescent="0.25">
      <c r="A485" s="18"/>
      <c r="B485" s="11" t="s">
        <v>882</v>
      </c>
      <c r="C485" s="37"/>
      <c r="D485" s="38"/>
      <c r="E485" s="38"/>
      <c r="F485" s="72">
        <v>12744</v>
      </c>
      <c r="G485" s="34" t="s">
        <v>923</v>
      </c>
      <c r="H485" s="37">
        <v>41009</v>
      </c>
      <c r="I485" s="42">
        <v>12744</v>
      </c>
      <c r="J485" s="42">
        <v>12744</v>
      </c>
      <c r="K485" s="42"/>
      <c r="L485" s="42"/>
      <c r="M485" s="42">
        <v>12744</v>
      </c>
      <c r="N485" s="42">
        <v>12744</v>
      </c>
      <c r="O485" s="42"/>
      <c r="P485" s="42">
        <f t="shared" si="50"/>
        <v>12744</v>
      </c>
      <c r="Q485" s="42">
        <v>12744</v>
      </c>
    </row>
    <row r="486" spans="1:17" s="4" customFormat="1" ht="36.75" customHeight="1" x14ac:dyDescent="0.25">
      <c r="A486" s="18"/>
      <c r="B486" s="11" t="s">
        <v>883</v>
      </c>
      <c r="C486" s="37"/>
      <c r="D486" s="38"/>
      <c r="E486" s="38"/>
      <c r="F486" s="72">
        <v>16065</v>
      </c>
      <c r="G486" s="34" t="s">
        <v>924</v>
      </c>
      <c r="H486" s="37">
        <v>41034</v>
      </c>
      <c r="I486" s="42">
        <v>16065</v>
      </c>
      <c r="J486" s="42">
        <v>16065</v>
      </c>
      <c r="K486" s="42"/>
      <c r="L486" s="42"/>
      <c r="M486" s="42">
        <v>16065</v>
      </c>
      <c r="N486" s="42">
        <v>16065</v>
      </c>
      <c r="O486" s="42"/>
      <c r="P486" s="42">
        <f t="shared" si="50"/>
        <v>16065</v>
      </c>
      <c r="Q486" s="42">
        <v>16065</v>
      </c>
    </row>
    <row r="487" spans="1:17" s="4" customFormat="1" ht="36.75" customHeight="1" x14ac:dyDescent="0.25">
      <c r="A487" s="18"/>
      <c r="B487" s="11" t="s">
        <v>884</v>
      </c>
      <c r="C487" s="37"/>
      <c r="D487" s="38"/>
      <c r="E487" s="38"/>
      <c r="F487" s="72">
        <v>2666</v>
      </c>
      <c r="G487" s="34" t="s">
        <v>925</v>
      </c>
      <c r="H487" s="37">
        <v>41068</v>
      </c>
      <c r="I487" s="42">
        <v>2666</v>
      </c>
      <c r="J487" s="42">
        <v>2666</v>
      </c>
      <c r="K487" s="42"/>
      <c r="L487" s="42"/>
      <c r="M487" s="42">
        <v>2666</v>
      </c>
      <c r="N487" s="42">
        <v>2666</v>
      </c>
      <c r="O487" s="42"/>
      <c r="P487" s="42">
        <f t="shared" si="50"/>
        <v>2666</v>
      </c>
      <c r="Q487" s="42">
        <v>2666</v>
      </c>
    </row>
    <row r="488" spans="1:17" s="4" customFormat="1" ht="36.75" customHeight="1" x14ac:dyDescent="0.25">
      <c r="A488" s="18"/>
      <c r="B488" s="11" t="s">
        <v>885</v>
      </c>
      <c r="C488" s="37"/>
      <c r="D488" s="38"/>
      <c r="E488" s="38"/>
      <c r="F488" s="72">
        <v>227920</v>
      </c>
      <c r="G488" s="34" t="s">
        <v>926</v>
      </c>
      <c r="H488" s="37">
        <v>41099</v>
      </c>
      <c r="I488" s="42">
        <v>227920</v>
      </c>
      <c r="J488" s="42">
        <v>227920</v>
      </c>
      <c r="K488" s="42"/>
      <c r="L488" s="42"/>
      <c r="M488" s="42">
        <v>227920</v>
      </c>
      <c r="N488" s="42">
        <v>227920</v>
      </c>
      <c r="O488" s="42"/>
      <c r="P488" s="42">
        <f t="shared" si="50"/>
        <v>227920</v>
      </c>
      <c r="Q488" s="42">
        <v>227920</v>
      </c>
    </row>
    <row r="489" spans="1:17" s="4" customFormat="1" ht="36.75" customHeight="1" x14ac:dyDescent="0.25">
      <c r="A489" s="18"/>
      <c r="B489" s="11" t="s">
        <v>886</v>
      </c>
      <c r="C489" s="37"/>
      <c r="D489" s="38"/>
      <c r="E489" s="38"/>
      <c r="F489" s="72">
        <v>68012</v>
      </c>
      <c r="G489" s="34" t="s">
        <v>927</v>
      </c>
      <c r="H489" s="37">
        <v>41128</v>
      </c>
      <c r="I489" s="42">
        <v>68012</v>
      </c>
      <c r="J489" s="42">
        <v>68012</v>
      </c>
      <c r="K489" s="42"/>
      <c r="L489" s="42"/>
      <c r="M489" s="42">
        <v>68012</v>
      </c>
      <c r="N489" s="42">
        <v>68012</v>
      </c>
      <c r="O489" s="42"/>
      <c r="P489" s="42">
        <f t="shared" si="50"/>
        <v>68012</v>
      </c>
      <c r="Q489" s="42">
        <v>68012</v>
      </c>
    </row>
    <row r="490" spans="1:17" s="4" customFormat="1" ht="36.75" customHeight="1" x14ac:dyDescent="0.25">
      <c r="A490" s="18"/>
      <c r="B490" s="11" t="s">
        <v>887</v>
      </c>
      <c r="C490" s="37"/>
      <c r="D490" s="38"/>
      <c r="E490" s="38"/>
      <c r="F490" s="72">
        <v>94047</v>
      </c>
      <c r="G490" s="34" t="s">
        <v>928</v>
      </c>
      <c r="H490" s="37">
        <v>41162</v>
      </c>
      <c r="I490" s="42">
        <v>94047</v>
      </c>
      <c r="J490" s="42">
        <v>94047</v>
      </c>
      <c r="K490" s="42"/>
      <c r="L490" s="42"/>
      <c r="M490" s="42">
        <v>94047</v>
      </c>
      <c r="N490" s="42">
        <v>94047</v>
      </c>
      <c r="O490" s="42"/>
      <c r="P490" s="42">
        <f t="shared" si="50"/>
        <v>94047</v>
      </c>
      <c r="Q490" s="42">
        <v>94047</v>
      </c>
    </row>
    <row r="491" spans="1:17" s="4" customFormat="1" ht="36.75" customHeight="1" x14ac:dyDescent="0.25">
      <c r="A491" s="18"/>
      <c r="B491" s="11" t="s">
        <v>888</v>
      </c>
      <c r="C491" s="37"/>
      <c r="D491" s="38"/>
      <c r="E491" s="38"/>
      <c r="F491" s="72">
        <v>79880</v>
      </c>
      <c r="G491" s="34" t="s">
        <v>929</v>
      </c>
      <c r="H491" s="37">
        <v>41191</v>
      </c>
      <c r="I491" s="42">
        <v>79880</v>
      </c>
      <c r="J491" s="42">
        <v>79880</v>
      </c>
      <c r="K491" s="42"/>
      <c r="L491" s="42"/>
      <c r="M491" s="42">
        <v>79880</v>
      </c>
      <c r="N491" s="42">
        <v>79880</v>
      </c>
      <c r="O491" s="42"/>
      <c r="P491" s="42">
        <f t="shared" si="50"/>
        <v>79880</v>
      </c>
      <c r="Q491" s="42">
        <v>79880</v>
      </c>
    </row>
    <row r="492" spans="1:17" s="4" customFormat="1" ht="36.75" customHeight="1" x14ac:dyDescent="0.25">
      <c r="A492" s="18"/>
      <c r="B492" s="11" t="s">
        <v>889</v>
      </c>
      <c r="C492" s="37"/>
      <c r="D492" s="38"/>
      <c r="E492" s="38"/>
      <c r="F492" s="72">
        <v>171398</v>
      </c>
      <c r="G492" s="34" t="s">
        <v>930</v>
      </c>
      <c r="H492" s="37">
        <v>41221</v>
      </c>
      <c r="I492" s="42">
        <v>171398</v>
      </c>
      <c r="J492" s="42">
        <v>171398</v>
      </c>
      <c r="K492" s="42"/>
      <c r="L492" s="42"/>
      <c r="M492" s="42">
        <v>171398</v>
      </c>
      <c r="N492" s="42">
        <v>171398</v>
      </c>
      <c r="O492" s="42"/>
      <c r="P492" s="42">
        <f t="shared" si="50"/>
        <v>171398</v>
      </c>
      <c r="Q492" s="42">
        <v>171398</v>
      </c>
    </row>
    <row r="493" spans="1:17" s="4" customFormat="1" ht="36.75" customHeight="1" x14ac:dyDescent="0.25">
      <c r="A493" s="18"/>
      <c r="B493" s="11" t="s">
        <v>890</v>
      </c>
      <c r="C493" s="37"/>
      <c r="D493" s="38"/>
      <c r="E493" s="38"/>
      <c r="F493" s="72">
        <v>67807</v>
      </c>
      <c r="G493" s="34" t="s">
        <v>931</v>
      </c>
      <c r="H493" s="37">
        <v>41253</v>
      </c>
      <c r="I493" s="42">
        <v>67807</v>
      </c>
      <c r="J493" s="42">
        <v>67807</v>
      </c>
      <c r="K493" s="42"/>
      <c r="L493" s="42"/>
      <c r="M493" s="42">
        <v>67807</v>
      </c>
      <c r="N493" s="42">
        <v>67807</v>
      </c>
      <c r="O493" s="42"/>
      <c r="P493" s="42">
        <f t="shared" si="50"/>
        <v>67807</v>
      </c>
      <c r="Q493" s="42">
        <v>67807</v>
      </c>
    </row>
    <row r="494" spans="1:17" s="4" customFormat="1" ht="36.75" customHeight="1" x14ac:dyDescent="0.25">
      <c r="A494" s="18"/>
      <c r="B494" s="11" t="s">
        <v>891</v>
      </c>
      <c r="C494" s="37"/>
      <c r="D494" s="38"/>
      <c r="E494" s="38"/>
      <c r="F494" s="72">
        <v>63100</v>
      </c>
      <c r="G494" s="34" t="s">
        <v>932</v>
      </c>
      <c r="H494" s="37">
        <v>41289</v>
      </c>
      <c r="I494" s="42">
        <v>63100</v>
      </c>
      <c r="J494" s="42">
        <v>63100</v>
      </c>
      <c r="K494" s="42"/>
      <c r="L494" s="42"/>
      <c r="M494" s="42">
        <v>63100</v>
      </c>
      <c r="N494" s="42">
        <v>63100</v>
      </c>
      <c r="O494" s="42"/>
      <c r="P494" s="42">
        <f t="shared" si="50"/>
        <v>63100</v>
      </c>
      <c r="Q494" s="42">
        <v>63100</v>
      </c>
    </row>
    <row r="495" spans="1:17" s="4" customFormat="1" ht="36.75" customHeight="1" x14ac:dyDescent="0.25">
      <c r="A495" s="18"/>
      <c r="B495" s="11" t="s">
        <v>892</v>
      </c>
      <c r="C495" s="37"/>
      <c r="D495" s="38"/>
      <c r="E495" s="38"/>
      <c r="F495" s="72">
        <v>92469</v>
      </c>
      <c r="G495" s="34" t="s">
        <v>933</v>
      </c>
      <c r="H495" s="37">
        <v>41316</v>
      </c>
      <c r="I495" s="42">
        <v>92469</v>
      </c>
      <c r="J495" s="42">
        <v>92469</v>
      </c>
      <c r="K495" s="42"/>
      <c r="L495" s="42"/>
      <c r="M495" s="42">
        <v>92469</v>
      </c>
      <c r="N495" s="42">
        <v>92469</v>
      </c>
      <c r="O495" s="42"/>
      <c r="P495" s="42">
        <f t="shared" si="50"/>
        <v>92469</v>
      </c>
      <c r="Q495" s="42">
        <v>92469</v>
      </c>
    </row>
    <row r="496" spans="1:17" s="4" customFormat="1" ht="36.75" customHeight="1" x14ac:dyDescent="0.25">
      <c r="A496" s="18"/>
      <c r="B496" s="11" t="s">
        <v>893</v>
      </c>
      <c r="C496" s="37"/>
      <c r="D496" s="38"/>
      <c r="E496" s="38"/>
      <c r="F496" s="72">
        <v>21070</v>
      </c>
      <c r="G496" s="34" t="s">
        <v>934</v>
      </c>
      <c r="H496" s="37">
        <v>41339</v>
      </c>
      <c r="I496" s="42">
        <v>21070</v>
      </c>
      <c r="J496" s="42">
        <v>21070</v>
      </c>
      <c r="K496" s="42"/>
      <c r="L496" s="42"/>
      <c r="M496" s="42">
        <v>21070</v>
      </c>
      <c r="N496" s="42">
        <v>21070</v>
      </c>
      <c r="O496" s="42"/>
      <c r="P496" s="42">
        <f t="shared" si="50"/>
        <v>21070</v>
      </c>
      <c r="Q496" s="42">
        <v>21070</v>
      </c>
    </row>
    <row r="497" spans="1:17" s="4" customFormat="1" ht="36.75" customHeight="1" x14ac:dyDescent="0.25">
      <c r="A497" s="18"/>
      <c r="B497" s="11" t="s">
        <v>894</v>
      </c>
      <c r="C497" s="37"/>
      <c r="D497" s="38"/>
      <c r="E497" s="38"/>
      <c r="F497" s="72">
        <v>6587</v>
      </c>
      <c r="G497" s="34" t="s">
        <v>935</v>
      </c>
      <c r="H497" s="37">
        <v>41402</v>
      </c>
      <c r="I497" s="42">
        <v>6587</v>
      </c>
      <c r="J497" s="42">
        <v>6587</v>
      </c>
      <c r="K497" s="42"/>
      <c r="L497" s="42"/>
      <c r="M497" s="42">
        <v>6587</v>
      </c>
      <c r="N497" s="42">
        <v>6587</v>
      </c>
      <c r="O497" s="42"/>
      <c r="P497" s="42">
        <f t="shared" si="50"/>
        <v>6587</v>
      </c>
      <c r="Q497" s="42">
        <v>6587</v>
      </c>
    </row>
    <row r="498" spans="1:17" s="4" customFormat="1" ht="36.75" customHeight="1" x14ac:dyDescent="0.25">
      <c r="A498" s="18"/>
      <c r="B498" s="11" t="s">
        <v>895</v>
      </c>
      <c r="C498" s="37"/>
      <c r="D498" s="38"/>
      <c r="E498" s="38"/>
      <c r="F498" s="72">
        <v>26298</v>
      </c>
      <c r="G498" s="34" t="s">
        <v>936</v>
      </c>
      <c r="H498" s="37">
        <v>41431</v>
      </c>
      <c r="I498" s="42">
        <v>26298</v>
      </c>
      <c r="J498" s="42">
        <v>26298</v>
      </c>
      <c r="K498" s="42"/>
      <c r="L498" s="42"/>
      <c r="M498" s="42">
        <v>26298</v>
      </c>
      <c r="N498" s="42">
        <v>26298</v>
      </c>
      <c r="O498" s="42"/>
      <c r="P498" s="42">
        <f t="shared" si="50"/>
        <v>26298</v>
      </c>
      <c r="Q498" s="42">
        <v>26298</v>
      </c>
    </row>
    <row r="499" spans="1:17" s="4" customFormat="1" ht="36.75" customHeight="1" x14ac:dyDescent="0.25">
      <c r="A499" s="18"/>
      <c r="B499" s="11" t="s">
        <v>896</v>
      </c>
      <c r="C499" s="37"/>
      <c r="D499" s="38"/>
      <c r="E499" s="38"/>
      <c r="F499" s="72">
        <v>110254</v>
      </c>
      <c r="G499" s="34" t="s">
        <v>937</v>
      </c>
      <c r="H499" s="37">
        <v>41460</v>
      </c>
      <c r="I499" s="42">
        <v>110254</v>
      </c>
      <c r="J499" s="42">
        <v>110254</v>
      </c>
      <c r="K499" s="42"/>
      <c r="L499" s="42"/>
      <c r="M499" s="42">
        <v>110254</v>
      </c>
      <c r="N499" s="42">
        <v>110254</v>
      </c>
      <c r="O499" s="42"/>
      <c r="P499" s="42">
        <f t="shared" si="50"/>
        <v>110254</v>
      </c>
      <c r="Q499" s="42">
        <v>110254</v>
      </c>
    </row>
    <row r="500" spans="1:17" s="4" customFormat="1" ht="36.75" customHeight="1" x14ac:dyDescent="0.25">
      <c r="A500" s="18"/>
      <c r="B500" s="11" t="s">
        <v>897</v>
      </c>
      <c r="C500" s="37"/>
      <c r="D500" s="38"/>
      <c r="E500" s="38"/>
      <c r="F500" s="72">
        <v>22205</v>
      </c>
      <c r="G500" s="34" t="s">
        <v>938</v>
      </c>
      <c r="H500" s="37">
        <v>41493</v>
      </c>
      <c r="I500" s="42">
        <v>22205</v>
      </c>
      <c r="J500" s="42">
        <v>22205</v>
      </c>
      <c r="K500" s="42"/>
      <c r="L500" s="42"/>
      <c r="M500" s="42">
        <v>22205</v>
      </c>
      <c r="N500" s="42">
        <v>22205</v>
      </c>
      <c r="O500" s="42"/>
      <c r="P500" s="42">
        <f t="shared" si="50"/>
        <v>22205</v>
      </c>
      <c r="Q500" s="42">
        <v>22205</v>
      </c>
    </row>
    <row r="501" spans="1:17" s="4" customFormat="1" ht="36.75" customHeight="1" x14ac:dyDescent="0.25">
      <c r="A501" s="18"/>
      <c r="B501" s="11" t="s">
        <v>898</v>
      </c>
      <c r="C501" s="37"/>
      <c r="D501" s="38"/>
      <c r="E501" s="38"/>
      <c r="F501" s="72">
        <v>20145</v>
      </c>
      <c r="G501" s="34" t="s">
        <v>939</v>
      </c>
      <c r="H501" s="37">
        <v>41523</v>
      </c>
      <c r="I501" s="42">
        <v>20145</v>
      </c>
      <c r="J501" s="42">
        <v>20145</v>
      </c>
      <c r="K501" s="42"/>
      <c r="L501" s="42"/>
      <c r="M501" s="42">
        <v>20145</v>
      </c>
      <c r="N501" s="42">
        <v>20145</v>
      </c>
      <c r="O501" s="42"/>
      <c r="P501" s="42">
        <f t="shared" si="50"/>
        <v>20145</v>
      </c>
      <c r="Q501" s="42">
        <v>20145</v>
      </c>
    </row>
    <row r="502" spans="1:17" s="4" customFormat="1" ht="36.75" customHeight="1" x14ac:dyDescent="0.25">
      <c r="A502" s="18"/>
      <c r="B502" s="11" t="s">
        <v>899</v>
      </c>
      <c r="C502" s="37"/>
      <c r="D502" s="38"/>
      <c r="E502" s="38"/>
      <c r="F502" s="72">
        <v>55150</v>
      </c>
      <c r="G502" s="34" t="s">
        <v>940</v>
      </c>
      <c r="H502" s="37">
        <v>41554</v>
      </c>
      <c r="I502" s="42">
        <v>55150</v>
      </c>
      <c r="J502" s="42">
        <v>55150</v>
      </c>
      <c r="K502" s="42"/>
      <c r="L502" s="42"/>
      <c r="M502" s="42">
        <v>55150</v>
      </c>
      <c r="N502" s="42">
        <v>55150</v>
      </c>
      <c r="O502" s="42"/>
      <c r="P502" s="42">
        <f t="shared" si="50"/>
        <v>55150</v>
      </c>
      <c r="Q502" s="42">
        <v>55150</v>
      </c>
    </row>
    <row r="503" spans="1:17" s="4" customFormat="1" ht="36.75" customHeight="1" x14ac:dyDescent="0.25">
      <c r="A503" s="18"/>
      <c r="B503" s="11" t="s">
        <v>900</v>
      </c>
      <c r="C503" s="37"/>
      <c r="D503" s="38"/>
      <c r="E503" s="38"/>
      <c r="F503" s="72">
        <v>75473</v>
      </c>
      <c r="G503" s="34" t="s">
        <v>941</v>
      </c>
      <c r="H503" s="37">
        <v>41586</v>
      </c>
      <c r="I503" s="42">
        <v>75473</v>
      </c>
      <c r="J503" s="42">
        <v>75473</v>
      </c>
      <c r="K503" s="42"/>
      <c r="L503" s="42"/>
      <c r="M503" s="42">
        <v>75473</v>
      </c>
      <c r="N503" s="42">
        <v>75473</v>
      </c>
      <c r="O503" s="42"/>
      <c r="P503" s="42">
        <f t="shared" si="50"/>
        <v>75473</v>
      </c>
      <c r="Q503" s="42">
        <v>75473</v>
      </c>
    </row>
    <row r="504" spans="1:17" s="4" customFormat="1" ht="36.75" customHeight="1" x14ac:dyDescent="0.25">
      <c r="A504" s="18"/>
      <c r="B504" s="11" t="s">
        <v>901</v>
      </c>
      <c r="C504" s="37"/>
      <c r="D504" s="38"/>
      <c r="E504" s="38"/>
      <c r="F504" s="72">
        <v>200480</v>
      </c>
      <c r="G504" s="34" t="s">
        <v>942</v>
      </c>
      <c r="H504" s="37">
        <v>41617</v>
      </c>
      <c r="I504" s="42">
        <v>200480</v>
      </c>
      <c r="J504" s="42">
        <v>200480</v>
      </c>
      <c r="K504" s="42"/>
      <c r="L504" s="42"/>
      <c r="M504" s="42">
        <v>200480</v>
      </c>
      <c r="N504" s="42">
        <v>200480</v>
      </c>
      <c r="O504" s="42"/>
      <c r="P504" s="42">
        <f t="shared" si="50"/>
        <v>200480</v>
      </c>
      <c r="Q504" s="42">
        <v>200480</v>
      </c>
    </row>
    <row r="505" spans="1:17" s="4" customFormat="1" ht="36.75" customHeight="1" x14ac:dyDescent="0.25">
      <c r="A505" s="18"/>
      <c r="B505" s="11" t="s">
        <v>902</v>
      </c>
      <c r="C505" s="37"/>
      <c r="D505" s="38"/>
      <c r="E505" s="38"/>
      <c r="F505" s="72">
        <v>153956</v>
      </c>
      <c r="G505" s="34" t="s">
        <v>943</v>
      </c>
      <c r="H505" s="37">
        <v>41649</v>
      </c>
      <c r="I505" s="42">
        <v>153956</v>
      </c>
      <c r="J505" s="42">
        <v>153956</v>
      </c>
      <c r="K505" s="42"/>
      <c r="L505" s="42"/>
      <c r="M505" s="42">
        <v>153956</v>
      </c>
      <c r="N505" s="42">
        <v>153956</v>
      </c>
      <c r="O505" s="42"/>
      <c r="P505" s="42">
        <f t="shared" si="50"/>
        <v>153956</v>
      </c>
      <c r="Q505" s="42">
        <v>153956</v>
      </c>
    </row>
    <row r="506" spans="1:17" s="4" customFormat="1" ht="36.75" customHeight="1" x14ac:dyDescent="0.25">
      <c r="A506" s="18"/>
      <c r="B506" s="11" t="s">
        <v>903</v>
      </c>
      <c r="C506" s="37"/>
      <c r="D506" s="38"/>
      <c r="E506" s="38"/>
      <c r="F506" s="72">
        <v>110656</v>
      </c>
      <c r="G506" s="34" t="s">
        <v>506</v>
      </c>
      <c r="H506" s="37">
        <v>41677</v>
      </c>
      <c r="I506" s="42">
        <v>110656</v>
      </c>
      <c r="J506" s="42">
        <v>110656</v>
      </c>
      <c r="K506" s="42"/>
      <c r="L506" s="42"/>
      <c r="M506" s="42">
        <v>110656</v>
      </c>
      <c r="N506" s="42">
        <v>110656</v>
      </c>
      <c r="O506" s="42"/>
      <c r="P506" s="42">
        <f t="shared" si="50"/>
        <v>110656</v>
      </c>
      <c r="Q506" s="42">
        <v>110656</v>
      </c>
    </row>
    <row r="507" spans="1:17" s="4" customFormat="1" ht="36.75" customHeight="1" x14ac:dyDescent="0.25">
      <c r="A507" s="18"/>
      <c r="B507" s="11" t="s">
        <v>904</v>
      </c>
      <c r="C507" s="37"/>
      <c r="D507" s="38"/>
      <c r="E507" s="38"/>
      <c r="F507" s="72">
        <v>145464</v>
      </c>
      <c r="G507" s="34" t="s">
        <v>944</v>
      </c>
      <c r="H507" s="37">
        <v>41705</v>
      </c>
      <c r="I507" s="42">
        <v>145464</v>
      </c>
      <c r="J507" s="42">
        <v>145464</v>
      </c>
      <c r="K507" s="42"/>
      <c r="L507" s="42"/>
      <c r="M507" s="42">
        <v>145464</v>
      </c>
      <c r="N507" s="42">
        <v>145464</v>
      </c>
      <c r="O507" s="42"/>
      <c r="P507" s="42">
        <f t="shared" si="50"/>
        <v>145464</v>
      </c>
      <c r="Q507" s="42">
        <v>145464</v>
      </c>
    </row>
    <row r="508" spans="1:17" s="4" customFormat="1" ht="36.75" customHeight="1" x14ac:dyDescent="0.25">
      <c r="A508" s="18"/>
      <c r="B508" s="11" t="s">
        <v>905</v>
      </c>
      <c r="C508" s="37"/>
      <c r="D508" s="38"/>
      <c r="E508" s="38"/>
      <c r="F508" s="72">
        <v>55354</v>
      </c>
      <c r="G508" s="34" t="s">
        <v>945</v>
      </c>
      <c r="H508" s="37">
        <v>41733</v>
      </c>
      <c r="I508" s="42">
        <v>55354</v>
      </c>
      <c r="J508" s="42">
        <v>55354</v>
      </c>
      <c r="K508" s="42"/>
      <c r="L508" s="42"/>
      <c r="M508" s="42">
        <v>55354</v>
      </c>
      <c r="N508" s="42">
        <v>55354</v>
      </c>
      <c r="O508" s="42"/>
      <c r="P508" s="42">
        <f t="shared" si="50"/>
        <v>55354</v>
      </c>
      <c r="Q508" s="42">
        <v>55354</v>
      </c>
    </row>
    <row r="509" spans="1:17" s="4" customFormat="1" ht="36.75" customHeight="1" x14ac:dyDescent="0.25">
      <c r="A509" s="18"/>
      <c r="B509" s="11" t="s">
        <v>906</v>
      </c>
      <c r="C509" s="37"/>
      <c r="D509" s="38"/>
      <c r="E509" s="38"/>
      <c r="F509" s="72">
        <v>277661</v>
      </c>
      <c r="G509" s="34" t="s">
        <v>946</v>
      </c>
      <c r="H509" s="37">
        <v>41767</v>
      </c>
      <c r="I509" s="42">
        <v>277661</v>
      </c>
      <c r="J509" s="42">
        <v>277661</v>
      </c>
      <c r="K509" s="42"/>
      <c r="L509" s="42"/>
      <c r="M509" s="42">
        <v>277661</v>
      </c>
      <c r="N509" s="42">
        <v>277661</v>
      </c>
      <c r="O509" s="42"/>
      <c r="P509" s="42">
        <f t="shared" si="50"/>
        <v>277661</v>
      </c>
      <c r="Q509" s="42">
        <v>277661</v>
      </c>
    </row>
    <row r="510" spans="1:17" s="4" customFormat="1" ht="36.75" customHeight="1" x14ac:dyDescent="0.25">
      <c r="A510" s="18"/>
      <c r="B510" s="11" t="s">
        <v>907</v>
      </c>
      <c r="C510" s="37"/>
      <c r="D510" s="38"/>
      <c r="E510" s="38"/>
      <c r="F510" s="72">
        <v>27566</v>
      </c>
      <c r="G510" s="34" t="s">
        <v>947</v>
      </c>
      <c r="H510" s="37">
        <v>41800</v>
      </c>
      <c r="I510" s="42">
        <v>27566</v>
      </c>
      <c r="J510" s="42">
        <v>27566</v>
      </c>
      <c r="K510" s="42"/>
      <c r="L510" s="42"/>
      <c r="M510" s="42">
        <v>27566</v>
      </c>
      <c r="N510" s="42">
        <v>27566</v>
      </c>
      <c r="O510" s="42"/>
      <c r="P510" s="42">
        <f t="shared" si="50"/>
        <v>27566</v>
      </c>
      <c r="Q510" s="42">
        <v>27566</v>
      </c>
    </row>
    <row r="511" spans="1:17" s="4" customFormat="1" ht="36.75" customHeight="1" x14ac:dyDescent="0.25">
      <c r="A511" s="18"/>
      <c r="B511" s="11" t="s">
        <v>908</v>
      </c>
      <c r="C511" s="37"/>
      <c r="D511" s="38"/>
      <c r="E511" s="38"/>
      <c r="F511" s="72">
        <v>219139</v>
      </c>
      <c r="G511" s="34" t="s">
        <v>948</v>
      </c>
      <c r="H511" s="37">
        <v>41828</v>
      </c>
      <c r="I511" s="42">
        <v>219139</v>
      </c>
      <c r="J511" s="42">
        <v>219139</v>
      </c>
      <c r="K511" s="42"/>
      <c r="L511" s="42"/>
      <c r="M511" s="42">
        <v>219139</v>
      </c>
      <c r="N511" s="42">
        <v>219139</v>
      </c>
      <c r="O511" s="42"/>
      <c r="P511" s="42">
        <f t="shared" si="50"/>
        <v>219139</v>
      </c>
      <c r="Q511" s="42">
        <v>219139</v>
      </c>
    </row>
    <row r="512" spans="1:17" s="4" customFormat="1" ht="36.75" customHeight="1" x14ac:dyDescent="0.25">
      <c r="A512" s="18"/>
      <c r="B512" s="11" t="s">
        <v>909</v>
      </c>
      <c r="C512" s="37"/>
      <c r="D512" s="38"/>
      <c r="E512" s="38"/>
      <c r="F512" s="72">
        <v>951950</v>
      </c>
      <c r="G512" s="34" t="s">
        <v>949</v>
      </c>
      <c r="H512" s="37">
        <v>41873</v>
      </c>
      <c r="I512" s="42">
        <v>951950</v>
      </c>
      <c r="J512" s="42">
        <v>951950</v>
      </c>
      <c r="K512" s="42"/>
      <c r="L512" s="42"/>
      <c r="M512" s="42">
        <v>951950</v>
      </c>
      <c r="N512" s="42">
        <v>951950</v>
      </c>
      <c r="O512" s="42"/>
      <c r="P512" s="42">
        <f t="shared" si="50"/>
        <v>951950</v>
      </c>
      <c r="Q512" s="42">
        <v>951950</v>
      </c>
    </row>
    <row r="513" spans="1:17" s="4" customFormat="1" ht="36.75" customHeight="1" x14ac:dyDescent="0.25">
      <c r="A513" s="18"/>
      <c r="B513" s="11" t="s">
        <v>910</v>
      </c>
      <c r="C513" s="37"/>
      <c r="D513" s="38"/>
      <c r="E513" s="38"/>
      <c r="F513" s="72">
        <v>1173526</v>
      </c>
      <c r="G513" s="34" t="s">
        <v>950</v>
      </c>
      <c r="H513" s="37">
        <v>41887</v>
      </c>
      <c r="I513" s="42">
        <v>1173526</v>
      </c>
      <c r="J513" s="42">
        <v>1173526</v>
      </c>
      <c r="K513" s="42"/>
      <c r="L513" s="42"/>
      <c r="M513" s="42">
        <v>1173526</v>
      </c>
      <c r="N513" s="42">
        <v>1173526</v>
      </c>
      <c r="O513" s="42"/>
      <c r="P513" s="42">
        <f t="shared" si="50"/>
        <v>1173526</v>
      </c>
      <c r="Q513" s="42">
        <v>1173526</v>
      </c>
    </row>
    <row r="514" spans="1:17" s="4" customFormat="1" ht="36.75" customHeight="1" x14ac:dyDescent="0.25">
      <c r="A514" s="18"/>
      <c r="B514" s="11" t="s">
        <v>911</v>
      </c>
      <c r="C514" s="37"/>
      <c r="D514" s="38"/>
      <c r="E514" s="38"/>
      <c r="F514" s="72">
        <v>999412</v>
      </c>
      <c r="G514" s="34" t="s">
        <v>951</v>
      </c>
      <c r="H514" s="37">
        <v>41920</v>
      </c>
      <c r="I514" s="42">
        <v>999412</v>
      </c>
      <c r="J514" s="42">
        <v>999412</v>
      </c>
      <c r="K514" s="42"/>
      <c r="L514" s="42"/>
      <c r="M514" s="42">
        <v>999412</v>
      </c>
      <c r="N514" s="42">
        <v>999412</v>
      </c>
      <c r="O514" s="42"/>
      <c r="P514" s="42">
        <f t="shared" si="50"/>
        <v>999412</v>
      </c>
      <c r="Q514" s="42">
        <v>999412</v>
      </c>
    </row>
    <row r="515" spans="1:17" s="4" customFormat="1" ht="36.75" customHeight="1" x14ac:dyDescent="0.25">
      <c r="A515" s="18"/>
      <c r="B515" s="11" t="s">
        <v>912</v>
      </c>
      <c r="C515" s="37"/>
      <c r="D515" s="38"/>
      <c r="E515" s="38"/>
      <c r="F515" s="72">
        <v>968629</v>
      </c>
      <c r="G515" s="34" t="s">
        <v>952</v>
      </c>
      <c r="H515" s="37">
        <v>41953</v>
      </c>
      <c r="I515" s="42">
        <v>968629</v>
      </c>
      <c r="J515" s="42">
        <v>968629</v>
      </c>
      <c r="K515" s="42"/>
      <c r="L515" s="42"/>
      <c r="M515" s="42">
        <v>968629</v>
      </c>
      <c r="N515" s="42">
        <v>968629</v>
      </c>
      <c r="O515" s="42"/>
      <c r="P515" s="42">
        <f t="shared" si="50"/>
        <v>968629</v>
      </c>
      <c r="Q515" s="42">
        <v>968629</v>
      </c>
    </row>
    <row r="516" spans="1:17" s="4" customFormat="1" ht="36.75" customHeight="1" x14ac:dyDescent="0.25">
      <c r="A516" s="18"/>
      <c r="B516" s="11" t="s">
        <v>913</v>
      </c>
      <c r="C516" s="37"/>
      <c r="D516" s="38"/>
      <c r="E516" s="38"/>
      <c r="F516" s="72">
        <v>433641</v>
      </c>
      <c r="G516" s="34" t="s">
        <v>953</v>
      </c>
      <c r="H516" s="37">
        <v>41978</v>
      </c>
      <c r="I516" s="42">
        <v>433641</v>
      </c>
      <c r="J516" s="42">
        <v>433641</v>
      </c>
      <c r="K516" s="42"/>
      <c r="L516" s="42"/>
      <c r="M516" s="42">
        <v>433641</v>
      </c>
      <c r="N516" s="42">
        <v>433641</v>
      </c>
      <c r="O516" s="42"/>
      <c r="P516" s="42">
        <f t="shared" si="50"/>
        <v>433641</v>
      </c>
      <c r="Q516" s="42">
        <v>433641</v>
      </c>
    </row>
    <row r="517" spans="1:17" s="4" customFormat="1" ht="36.75" customHeight="1" x14ac:dyDescent="0.25">
      <c r="A517" s="18"/>
      <c r="B517" s="11" t="s">
        <v>914</v>
      </c>
      <c r="C517" s="37"/>
      <c r="D517" s="38"/>
      <c r="E517" s="38"/>
      <c r="F517" s="72">
        <v>251322</v>
      </c>
      <c r="G517" s="34" t="s">
        <v>954</v>
      </c>
      <c r="H517" s="37">
        <v>42016</v>
      </c>
      <c r="I517" s="42">
        <v>251322</v>
      </c>
      <c r="J517" s="42">
        <v>251322</v>
      </c>
      <c r="K517" s="42"/>
      <c r="L517" s="42"/>
      <c r="M517" s="42">
        <v>251322</v>
      </c>
      <c r="N517" s="42">
        <v>251322</v>
      </c>
      <c r="O517" s="42"/>
      <c r="P517" s="42">
        <f t="shared" si="50"/>
        <v>251322</v>
      </c>
      <c r="Q517" s="42">
        <v>251322</v>
      </c>
    </row>
    <row r="518" spans="1:17" s="4" customFormat="1" ht="36.75" customHeight="1" x14ac:dyDescent="0.25">
      <c r="A518" s="18"/>
      <c r="B518" s="11" t="s">
        <v>915</v>
      </c>
      <c r="C518" s="37"/>
      <c r="D518" s="38"/>
      <c r="E518" s="38"/>
      <c r="F518" s="72">
        <v>307514</v>
      </c>
      <c r="G518" s="34" t="s">
        <v>955</v>
      </c>
      <c r="H518" s="37">
        <v>42044</v>
      </c>
      <c r="I518" s="42">
        <v>307514</v>
      </c>
      <c r="J518" s="42">
        <v>307514</v>
      </c>
      <c r="K518" s="42"/>
      <c r="L518" s="42"/>
      <c r="M518" s="42">
        <v>307514</v>
      </c>
      <c r="N518" s="42">
        <v>307514</v>
      </c>
      <c r="O518" s="42"/>
      <c r="P518" s="42">
        <f t="shared" si="50"/>
        <v>307514</v>
      </c>
      <c r="Q518" s="42">
        <v>307514</v>
      </c>
    </row>
    <row r="519" spans="1:17" s="4" customFormat="1" ht="36.75" customHeight="1" x14ac:dyDescent="0.25">
      <c r="A519" s="18"/>
      <c r="B519" s="11" t="s">
        <v>916</v>
      </c>
      <c r="C519" s="37"/>
      <c r="D519" s="38"/>
      <c r="E519" s="38"/>
      <c r="F519" s="72">
        <v>339775</v>
      </c>
      <c r="G519" s="34" t="s">
        <v>956</v>
      </c>
      <c r="H519" s="37">
        <v>42069</v>
      </c>
      <c r="I519" s="42">
        <v>339775</v>
      </c>
      <c r="J519" s="42">
        <v>339775</v>
      </c>
      <c r="K519" s="42"/>
      <c r="L519" s="42"/>
      <c r="M519" s="42">
        <v>339775</v>
      </c>
      <c r="N519" s="42">
        <v>339775</v>
      </c>
      <c r="O519" s="42"/>
      <c r="P519" s="42">
        <f t="shared" si="50"/>
        <v>339775</v>
      </c>
      <c r="Q519" s="42">
        <v>339775</v>
      </c>
    </row>
    <row r="520" spans="1:17" s="4" customFormat="1" ht="36.75" customHeight="1" x14ac:dyDescent="0.25">
      <c r="A520" s="18"/>
      <c r="B520" s="11" t="s">
        <v>917</v>
      </c>
      <c r="C520" s="37"/>
      <c r="D520" s="38"/>
      <c r="E520" s="38"/>
      <c r="F520" s="72">
        <v>730764</v>
      </c>
      <c r="G520" s="34" t="s">
        <v>957</v>
      </c>
      <c r="H520" s="37">
        <v>42104</v>
      </c>
      <c r="I520" s="42">
        <v>730764</v>
      </c>
      <c r="J520" s="42">
        <v>730764</v>
      </c>
      <c r="K520" s="42"/>
      <c r="L520" s="42"/>
      <c r="M520" s="42">
        <v>730764</v>
      </c>
      <c r="N520" s="42">
        <v>730764</v>
      </c>
      <c r="O520" s="42"/>
      <c r="P520" s="42">
        <f t="shared" si="50"/>
        <v>730764</v>
      </c>
      <c r="Q520" s="42">
        <v>730764</v>
      </c>
    </row>
    <row r="521" spans="1:17" s="4" customFormat="1" ht="36.75" customHeight="1" x14ac:dyDescent="0.25">
      <c r="A521" s="18"/>
      <c r="B521" s="11" t="s">
        <v>918</v>
      </c>
      <c r="C521" s="37"/>
      <c r="D521" s="38"/>
      <c r="E521" s="38"/>
      <c r="F521" s="72">
        <v>500069</v>
      </c>
      <c r="G521" s="34" t="s">
        <v>958</v>
      </c>
      <c r="H521" s="37">
        <v>42137</v>
      </c>
      <c r="I521" s="42">
        <v>500069</v>
      </c>
      <c r="J521" s="42">
        <v>500069</v>
      </c>
      <c r="K521" s="42"/>
      <c r="L521" s="42"/>
      <c r="M521" s="42">
        <v>500069</v>
      </c>
      <c r="N521" s="42">
        <v>500069</v>
      </c>
      <c r="O521" s="42"/>
      <c r="P521" s="42">
        <f t="shared" si="50"/>
        <v>500069</v>
      </c>
      <c r="Q521" s="42">
        <v>500069</v>
      </c>
    </row>
    <row r="522" spans="1:17" s="4" customFormat="1" ht="36.75" customHeight="1" x14ac:dyDescent="0.25">
      <c r="A522" s="18"/>
      <c r="B522" s="11" t="s">
        <v>919</v>
      </c>
      <c r="C522" s="37"/>
      <c r="D522" s="38"/>
      <c r="E522" s="38"/>
      <c r="F522" s="72">
        <v>282710</v>
      </c>
      <c r="G522" s="34" t="s">
        <v>959</v>
      </c>
      <c r="H522" s="37">
        <v>42164</v>
      </c>
      <c r="I522" s="42">
        <v>282710</v>
      </c>
      <c r="J522" s="42">
        <v>282710</v>
      </c>
      <c r="K522" s="42"/>
      <c r="L522" s="42"/>
      <c r="M522" s="42">
        <v>282710</v>
      </c>
      <c r="N522" s="42">
        <v>282710</v>
      </c>
      <c r="O522" s="42"/>
      <c r="P522" s="42">
        <f t="shared" si="50"/>
        <v>282710</v>
      </c>
      <c r="Q522" s="42">
        <v>282710</v>
      </c>
    </row>
    <row r="523" spans="1:17" s="4" customFormat="1" ht="36.75" customHeight="1" x14ac:dyDescent="0.25">
      <c r="A523" s="18"/>
      <c r="B523" s="11" t="s">
        <v>920</v>
      </c>
      <c r="C523" s="37"/>
      <c r="D523" s="38"/>
      <c r="E523" s="38"/>
      <c r="F523" s="72">
        <v>217706</v>
      </c>
      <c r="G523" s="34" t="s">
        <v>960</v>
      </c>
      <c r="H523" s="37">
        <v>42193</v>
      </c>
      <c r="I523" s="42">
        <v>217706</v>
      </c>
      <c r="J523" s="42">
        <v>217706</v>
      </c>
      <c r="K523" s="42"/>
      <c r="L523" s="42"/>
      <c r="M523" s="42">
        <v>217706</v>
      </c>
      <c r="N523" s="42">
        <v>217706</v>
      </c>
      <c r="O523" s="42"/>
      <c r="P523" s="42">
        <f t="shared" si="50"/>
        <v>217706</v>
      </c>
      <c r="Q523" s="42">
        <v>217706</v>
      </c>
    </row>
    <row r="524" spans="1:17" s="4" customFormat="1" ht="36.75" customHeight="1" x14ac:dyDescent="0.25">
      <c r="A524" s="18"/>
      <c r="B524" s="11" t="s">
        <v>1675</v>
      </c>
      <c r="C524" s="37" t="s">
        <v>1677</v>
      </c>
      <c r="D524" s="38" t="s">
        <v>1676</v>
      </c>
      <c r="E524" s="38"/>
      <c r="F524" s="72"/>
      <c r="G524" s="34">
        <v>3842</v>
      </c>
      <c r="H524" s="37" t="s">
        <v>1043</v>
      </c>
      <c r="I524" s="42">
        <f>J524</f>
        <v>70000</v>
      </c>
      <c r="J524" s="42">
        <v>70000</v>
      </c>
      <c r="K524" s="42"/>
      <c r="L524" s="42"/>
      <c r="M524" s="42">
        <f>N524</f>
        <v>70000</v>
      </c>
      <c r="N524" s="42">
        <v>70000</v>
      </c>
      <c r="O524" s="42"/>
      <c r="P524" s="42">
        <f t="shared" si="50"/>
        <v>70000</v>
      </c>
      <c r="Q524" s="42">
        <v>70000</v>
      </c>
    </row>
    <row r="525" spans="1:17" s="4" customFormat="1" ht="58.5" customHeight="1" x14ac:dyDescent="0.25">
      <c r="A525" s="18"/>
      <c r="B525" s="11" t="s">
        <v>1678</v>
      </c>
      <c r="C525" s="37" t="s">
        <v>1679</v>
      </c>
      <c r="D525" s="37" t="s">
        <v>1679</v>
      </c>
      <c r="E525" s="38"/>
      <c r="F525" s="72"/>
      <c r="G525" s="34">
        <v>4098</v>
      </c>
      <c r="H525" s="37" t="s">
        <v>1044</v>
      </c>
      <c r="I525" s="42">
        <f t="shared" ref="I525:I550" si="55">J525</f>
        <v>140000</v>
      </c>
      <c r="J525" s="42">
        <v>140000</v>
      </c>
      <c r="K525" s="42"/>
      <c r="L525" s="42"/>
      <c r="M525" s="42">
        <f t="shared" ref="M525:M550" si="56">N525</f>
        <v>140000</v>
      </c>
      <c r="N525" s="42">
        <v>140000</v>
      </c>
      <c r="O525" s="42"/>
      <c r="P525" s="42">
        <f t="shared" si="50"/>
        <v>140000</v>
      </c>
      <c r="Q525" s="42">
        <v>140000</v>
      </c>
    </row>
    <row r="526" spans="1:17" s="4" customFormat="1" ht="36.75" customHeight="1" x14ac:dyDescent="0.25">
      <c r="A526" s="18"/>
      <c r="B526" s="11" t="s">
        <v>1680</v>
      </c>
      <c r="C526" s="60" t="s">
        <v>1682</v>
      </c>
      <c r="D526" s="38" t="s">
        <v>1681</v>
      </c>
      <c r="E526" s="38"/>
      <c r="F526" s="72"/>
      <c r="G526" s="34">
        <v>4239</v>
      </c>
      <c r="H526" s="37" t="s">
        <v>1045</v>
      </c>
      <c r="I526" s="42">
        <f t="shared" si="55"/>
        <v>70000</v>
      </c>
      <c r="J526" s="42">
        <v>70000</v>
      </c>
      <c r="K526" s="42"/>
      <c r="L526" s="42"/>
      <c r="M526" s="42">
        <f t="shared" si="56"/>
        <v>70000</v>
      </c>
      <c r="N526" s="42">
        <v>70000</v>
      </c>
      <c r="O526" s="42"/>
      <c r="P526" s="42">
        <f t="shared" si="50"/>
        <v>70000</v>
      </c>
      <c r="Q526" s="42">
        <v>70000</v>
      </c>
    </row>
    <row r="527" spans="1:17" s="4" customFormat="1" ht="36.75" customHeight="1" x14ac:dyDescent="0.25">
      <c r="A527" s="18"/>
      <c r="B527" s="11" t="s">
        <v>1675</v>
      </c>
      <c r="C527" s="20" t="s">
        <v>1684</v>
      </c>
      <c r="D527" s="38" t="s">
        <v>1683</v>
      </c>
      <c r="E527" s="38"/>
      <c r="F527" s="72"/>
      <c r="G527" s="34">
        <v>4591</v>
      </c>
      <c r="H527" s="37" t="s">
        <v>1046</v>
      </c>
      <c r="I527" s="42">
        <f t="shared" si="55"/>
        <v>110000</v>
      </c>
      <c r="J527" s="42">
        <v>110000</v>
      </c>
      <c r="K527" s="42"/>
      <c r="L527" s="42"/>
      <c r="M527" s="42">
        <f t="shared" si="56"/>
        <v>110000</v>
      </c>
      <c r="N527" s="42">
        <v>110000</v>
      </c>
      <c r="O527" s="42"/>
      <c r="P527" s="42">
        <f t="shared" si="50"/>
        <v>110000</v>
      </c>
      <c r="Q527" s="42">
        <v>110000</v>
      </c>
    </row>
    <row r="528" spans="1:17" s="4" customFormat="1" ht="36.75" customHeight="1" x14ac:dyDescent="0.25">
      <c r="A528" s="18"/>
      <c r="B528" s="11" t="s">
        <v>1685</v>
      </c>
      <c r="C528" s="20" t="s">
        <v>1686</v>
      </c>
      <c r="D528" s="38" t="s">
        <v>1683</v>
      </c>
      <c r="E528" s="38"/>
      <c r="F528" s="72"/>
      <c r="G528" s="34">
        <v>4650</v>
      </c>
      <c r="H528" s="37" t="s">
        <v>1047</v>
      </c>
      <c r="I528" s="42">
        <f t="shared" si="55"/>
        <v>100000</v>
      </c>
      <c r="J528" s="42">
        <v>100000</v>
      </c>
      <c r="K528" s="42"/>
      <c r="L528" s="42"/>
      <c r="M528" s="42">
        <f t="shared" si="56"/>
        <v>100000</v>
      </c>
      <c r="N528" s="42">
        <v>100000</v>
      </c>
      <c r="O528" s="42"/>
      <c r="P528" s="42">
        <f t="shared" si="50"/>
        <v>100000</v>
      </c>
      <c r="Q528" s="42">
        <v>100000</v>
      </c>
    </row>
    <row r="529" spans="1:17" s="4" customFormat="1" ht="36.75" customHeight="1" x14ac:dyDescent="0.25">
      <c r="A529" s="18"/>
      <c r="B529" s="11" t="s">
        <v>1678</v>
      </c>
      <c r="C529" s="37" t="s">
        <v>1688</v>
      </c>
      <c r="D529" s="38" t="s">
        <v>1687</v>
      </c>
      <c r="E529" s="38"/>
      <c r="F529" s="72"/>
      <c r="G529" s="34">
        <v>4788</v>
      </c>
      <c r="H529" s="37" t="s">
        <v>1048</v>
      </c>
      <c r="I529" s="42">
        <f t="shared" si="55"/>
        <v>38270</v>
      </c>
      <c r="J529" s="42">
        <v>38270</v>
      </c>
      <c r="K529" s="42"/>
      <c r="L529" s="42"/>
      <c r="M529" s="42">
        <f t="shared" si="56"/>
        <v>38270</v>
      </c>
      <c r="N529" s="42">
        <v>38270</v>
      </c>
      <c r="O529" s="42"/>
      <c r="P529" s="42">
        <f t="shared" si="50"/>
        <v>38270</v>
      </c>
      <c r="Q529" s="42">
        <v>38270</v>
      </c>
    </row>
    <row r="530" spans="1:17" s="4" customFormat="1" ht="36.75" customHeight="1" x14ac:dyDescent="0.25">
      <c r="A530" s="18"/>
      <c r="B530" s="11" t="s">
        <v>1678</v>
      </c>
      <c r="C530" s="37" t="s">
        <v>1689</v>
      </c>
      <c r="D530" s="38" t="s">
        <v>1687</v>
      </c>
      <c r="E530" s="38"/>
      <c r="F530" s="72"/>
      <c r="G530" s="34">
        <v>4925</v>
      </c>
      <c r="H530" s="37" t="s">
        <v>1049</v>
      </c>
      <c r="I530" s="42">
        <f t="shared" si="55"/>
        <v>34440</v>
      </c>
      <c r="J530" s="42">
        <v>34440</v>
      </c>
      <c r="K530" s="42"/>
      <c r="L530" s="42"/>
      <c r="M530" s="42">
        <f t="shared" si="56"/>
        <v>34440</v>
      </c>
      <c r="N530" s="42">
        <v>34440</v>
      </c>
      <c r="O530" s="42"/>
      <c r="P530" s="42">
        <f t="shared" si="50"/>
        <v>34440</v>
      </c>
      <c r="Q530" s="42">
        <v>34440</v>
      </c>
    </row>
    <row r="531" spans="1:17" s="4" customFormat="1" ht="36.75" customHeight="1" x14ac:dyDescent="0.25">
      <c r="A531" s="18"/>
      <c r="B531" s="11" t="s">
        <v>1678</v>
      </c>
      <c r="C531" s="37" t="s">
        <v>1691</v>
      </c>
      <c r="D531" s="38" t="s">
        <v>1690</v>
      </c>
      <c r="E531" s="38"/>
      <c r="F531" s="72"/>
      <c r="G531" s="34">
        <v>5065</v>
      </c>
      <c r="H531" s="37" t="s">
        <v>1050</v>
      </c>
      <c r="I531" s="42">
        <f t="shared" si="55"/>
        <v>127330</v>
      </c>
      <c r="J531" s="42">
        <v>127330</v>
      </c>
      <c r="K531" s="42"/>
      <c r="L531" s="42"/>
      <c r="M531" s="42">
        <f t="shared" si="56"/>
        <v>127330</v>
      </c>
      <c r="N531" s="42">
        <v>127330</v>
      </c>
      <c r="O531" s="42"/>
      <c r="P531" s="42">
        <f t="shared" si="50"/>
        <v>127330</v>
      </c>
      <c r="Q531" s="42">
        <v>127330</v>
      </c>
    </row>
    <row r="532" spans="1:17" s="4" customFormat="1" ht="36.75" customHeight="1" x14ac:dyDescent="0.25">
      <c r="A532" s="18"/>
      <c r="B532" s="11" t="s">
        <v>1678</v>
      </c>
      <c r="C532" s="37" t="s">
        <v>1692</v>
      </c>
      <c r="D532" s="38" t="s">
        <v>1687</v>
      </c>
      <c r="E532" s="38"/>
      <c r="F532" s="72"/>
      <c r="G532" s="34">
        <v>5155</v>
      </c>
      <c r="H532" s="37" t="s">
        <v>1051</v>
      </c>
      <c r="I532" s="42">
        <f t="shared" si="55"/>
        <v>83090</v>
      </c>
      <c r="J532" s="42">
        <v>83090</v>
      </c>
      <c r="K532" s="42"/>
      <c r="L532" s="42"/>
      <c r="M532" s="42">
        <f t="shared" si="56"/>
        <v>83090</v>
      </c>
      <c r="N532" s="42">
        <v>83090</v>
      </c>
      <c r="O532" s="42"/>
      <c r="P532" s="42">
        <f t="shared" si="50"/>
        <v>83090</v>
      </c>
      <c r="Q532" s="42">
        <v>83090</v>
      </c>
    </row>
    <row r="533" spans="1:17" s="4" customFormat="1" ht="36.75" customHeight="1" x14ac:dyDescent="0.25">
      <c r="A533" s="18"/>
      <c r="B533" s="11" t="s">
        <v>1678</v>
      </c>
      <c r="C533" s="37" t="s">
        <v>1694</v>
      </c>
      <c r="D533" s="38" t="s">
        <v>1693</v>
      </c>
      <c r="E533" s="38"/>
      <c r="F533" s="72"/>
      <c r="G533" s="34">
        <v>5683</v>
      </c>
      <c r="H533" s="37" t="s">
        <v>1052</v>
      </c>
      <c r="I533" s="42">
        <f t="shared" si="55"/>
        <v>30680</v>
      </c>
      <c r="J533" s="42">
        <v>30680</v>
      </c>
      <c r="K533" s="42"/>
      <c r="L533" s="42"/>
      <c r="M533" s="42">
        <f t="shared" si="56"/>
        <v>30680</v>
      </c>
      <c r="N533" s="42">
        <v>30680</v>
      </c>
      <c r="O533" s="42"/>
      <c r="P533" s="42">
        <f t="shared" si="50"/>
        <v>30680</v>
      </c>
      <c r="Q533" s="42">
        <v>30680</v>
      </c>
    </row>
    <row r="534" spans="1:17" s="4" customFormat="1" ht="36.75" customHeight="1" x14ac:dyDescent="0.25">
      <c r="A534" s="18"/>
      <c r="B534" s="11" t="s">
        <v>1678</v>
      </c>
      <c r="C534" s="37" t="s">
        <v>1694</v>
      </c>
      <c r="D534" s="38" t="s">
        <v>1695</v>
      </c>
      <c r="E534" s="38"/>
      <c r="F534" s="72"/>
      <c r="G534" s="34">
        <v>5888</v>
      </c>
      <c r="H534" s="37" t="s">
        <v>1053</v>
      </c>
      <c r="I534" s="42">
        <f t="shared" si="55"/>
        <v>16800</v>
      </c>
      <c r="J534" s="42">
        <v>16800</v>
      </c>
      <c r="K534" s="42"/>
      <c r="L534" s="42"/>
      <c r="M534" s="42">
        <f t="shared" si="56"/>
        <v>16800</v>
      </c>
      <c r="N534" s="42">
        <v>16800</v>
      </c>
      <c r="O534" s="42"/>
      <c r="P534" s="42">
        <f t="shared" ref="P534:P597" si="57">M534</f>
        <v>16800</v>
      </c>
      <c r="Q534" s="42">
        <v>16800</v>
      </c>
    </row>
    <row r="535" spans="1:17" s="4" customFormat="1" ht="36.75" customHeight="1" x14ac:dyDescent="0.25">
      <c r="A535" s="18"/>
      <c r="B535" s="11" t="s">
        <v>1675</v>
      </c>
      <c r="C535" s="37" t="s">
        <v>1697</v>
      </c>
      <c r="D535" s="38" t="s">
        <v>1696</v>
      </c>
      <c r="E535" s="38"/>
      <c r="F535" s="72"/>
      <c r="G535" s="34">
        <v>6319</v>
      </c>
      <c r="H535" s="37" t="s">
        <v>1054</v>
      </c>
      <c r="I535" s="42">
        <f t="shared" si="55"/>
        <v>70000</v>
      </c>
      <c r="J535" s="42">
        <v>70000</v>
      </c>
      <c r="K535" s="42"/>
      <c r="L535" s="42"/>
      <c r="M535" s="42">
        <f t="shared" si="56"/>
        <v>70000</v>
      </c>
      <c r="N535" s="42">
        <v>70000</v>
      </c>
      <c r="O535" s="42"/>
      <c r="P535" s="42">
        <f t="shared" si="57"/>
        <v>70000</v>
      </c>
      <c r="Q535" s="42">
        <v>70000</v>
      </c>
    </row>
    <row r="536" spans="1:17" s="4" customFormat="1" ht="36.75" customHeight="1" x14ac:dyDescent="0.25">
      <c r="A536" s="18"/>
      <c r="B536" s="11" t="s">
        <v>1678</v>
      </c>
      <c r="C536" s="37" t="s">
        <v>1699</v>
      </c>
      <c r="D536" s="38" t="s">
        <v>1698</v>
      </c>
      <c r="E536" s="38"/>
      <c r="F536" s="72"/>
      <c r="G536" s="34">
        <v>6825</v>
      </c>
      <c r="H536" s="37" t="s">
        <v>1055</v>
      </c>
      <c r="I536" s="42">
        <f t="shared" si="55"/>
        <v>35000</v>
      </c>
      <c r="J536" s="42">
        <v>35000</v>
      </c>
      <c r="K536" s="42"/>
      <c r="L536" s="42"/>
      <c r="M536" s="42">
        <f t="shared" si="56"/>
        <v>35000</v>
      </c>
      <c r="N536" s="42">
        <v>35000</v>
      </c>
      <c r="O536" s="42"/>
      <c r="P536" s="42">
        <f t="shared" si="57"/>
        <v>35000</v>
      </c>
      <c r="Q536" s="42">
        <v>35000</v>
      </c>
    </row>
    <row r="537" spans="1:17" s="4" customFormat="1" ht="36.75" customHeight="1" x14ac:dyDescent="0.25">
      <c r="A537" s="18"/>
      <c r="B537" s="11" t="s">
        <v>1675</v>
      </c>
      <c r="C537" s="37" t="s">
        <v>1700</v>
      </c>
      <c r="D537" s="38" t="s">
        <v>1698</v>
      </c>
      <c r="E537" s="38"/>
      <c r="F537" s="72"/>
      <c r="G537" s="34">
        <v>7345</v>
      </c>
      <c r="H537" s="37" t="s">
        <v>1056</v>
      </c>
      <c r="I537" s="42">
        <f t="shared" si="55"/>
        <v>35000</v>
      </c>
      <c r="J537" s="42">
        <v>35000</v>
      </c>
      <c r="K537" s="42"/>
      <c r="L537" s="42"/>
      <c r="M537" s="42">
        <f t="shared" si="56"/>
        <v>35000</v>
      </c>
      <c r="N537" s="42">
        <v>35000</v>
      </c>
      <c r="O537" s="42"/>
      <c r="P537" s="42">
        <f t="shared" si="57"/>
        <v>35000</v>
      </c>
      <c r="Q537" s="42">
        <v>35000</v>
      </c>
    </row>
    <row r="538" spans="1:17" s="4" customFormat="1" ht="36.75" customHeight="1" x14ac:dyDescent="0.25">
      <c r="A538" s="18"/>
      <c r="B538" s="11" t="s">
        <v>1678</v>
      </c>
      <c r="C538" s="37" t="s">
        <v>1702</v>
      </c>
      <c r="D538" s="38" t="s">
        <v>1701</v>
      </c>
      <c r="E538" s="38"/>
      <c r="F538" s="72"/>
      <c r="G538" s="34">
        <v>7527</v>
      </c>
      <c r="H538" s="37" t="s">
        <v>49</v>
      </c>
      <c r="I538" s="42">
        <f t="shared" si="55"/>
        <v>70000</v>
      </c>
      <c r="J538" s="42">
        <v>70000</v>
      </c>
      <c r="K538" s="42"/>
      <c r="L538" s="42"/>
      <c r="M538" s="42">
        <f t="shared" si="56"/>
        <v>70000</v>
      </c>
      <c r="N538" s="42">
        <v>70000</v>
      </c>
      <c r="O538" s="42"/>
      <c r="P538" s="42">
        <f t="shared" si="57"/>
        <v>70000</v>
      </c>
      <c r="Q538" s="42">
        <v>70000</v>
      </c>
    </row>
    <row r="539" spans="1:17" s="4" customFormat="1" ht="36.75" customHeight="1" x14ac:dyDescent="0.25">
      <c r="A539" s="18"/>
      <c r="B539" s="11" t="s">
        <v>1675</v>
      </c>
      <c r="C539" s="37" t="s">
        <v>1704</v>
      </c>
      <c r="D539" s="38" t="s">
        <v>1703</v>
      </c>
      <c r="E539" s="38"/>
      <c r="F539" s="72"/>
      <c r="G539" s="34">
        <v>7640</v>
      </c>
      <c r="H539" s="37" t="s">
        <v>51</v>
      </c>
      <c r="I539" s="42">
        <f t="shared" si="55"/>
        <v>35000</v>
      </c>
      <c r="J539" s="42">
        <v>35000</v>
      </c>
      <c r="K539" s="42"/>
      <c r="L539" s="42"/>
      <c r="M539" s="42">
        <f t="shared" si="56"/>
        <v>35000</v>
      </c>
      <c r="N539" s="42">
        <v>35000</v>
      </c>
      <c r="O539" s="42"/>
      <c r="P539" s="42">
        <f t="shared" si="57"/>
        <v>35000</v>
      </c>
      <c r="Q539" s="42">
        <v>35000</v>
      </c>
    </row>
    <row r="540" spans="1:17" s="4" customFormat="1" ht="36.75" customHeight="1" x14ac:dyDescent="0.25">
      <c r="A540" s="18"/>
      <c r="B540" s="11" t="s">
        <v>1705</v>
      </c>
      <c r="C540" s="37" t="s">
        <v>1704</v>
      </c>
      <c r="D540" s="38" t="s">
        <v>1703</v>
      </c>
      <c r="E540" s="38"/>
      <c r="F540" s="72"/>
      <c r="G540" s="34">
        <v>7832</v>
      </c>
      <c r="H540" s="37" t="s">
        <v>1057</v>
      </c>
      <c r="I540" s="42">
        <f t="shared" si="55"/>
        <v>35000</v>
      </c>
      <c r="J540" s="42">
        <v>35000</v>
      </c>
      <c r="K540" s="42"/>
      <c r="L540" s="42"/>
      <c r="M540" s="42">
        <f t="shared" si="56"/>
        <v>35000</v>
      </c>
      <c r="N540" s="42">
        <v>35000</v>
      </c>
      <c r="O540" s="42"/>
      <c r="P540" s="42">
        <f t="shared" si="57"/>
        <v>35000</v>
      </c>
      <c r="Q540" s="42">
        <v>35000</v>
      </c>
    </row>
    <row r="541" spans="1:17" s="4" customFormat="1" ht="36.75" customHeight="1" x14ac:dyDescent="0.25">
      <c r="A541" s="18"/>
      <c r="B541" s="11" t="s">
        <v>1678</v>
      </c>
      <c r="C541" s="37" t="s">
        <v>1706</v>
      </c>
      <c r="D541" s="38" t="s">
        <v>1334</v>
      </c>
      <c r="E541" s="38"/>
      <c r="F541" s="72"/>
      <c r="G541" s="34">
        <v>9221</v>
      </c>
      <c r="H541" s="37" t="s">
        <v>1058</v>
      </c>
      <c r="I541" s="42">
        <f t="shared" si="55"/>
        <v>31710</v>
      </c>
      <c r="J541" s="42">
        <v>31710</v>
      </c>
      <c r="K541" s="42"/>
      <c r="L541" s="42"/>
      <c r="M541" s="42">
        <f t="shared" si="56"/>
        <v>31710</v>
      </c>
      <c r="N541" s="42">
        <v>31710</v>
      </c>
      <c r="O541" s="42"/>
      <c r="P541" s="42">
        <f t="shared" si="57"/>
        <v>31710</v>
      </c>
      <c r="Q541" s="42">
        <v>31710</v>
      </c>
    </row>
    <row r="542" spans="1:17" s="4" customFormat="1" ht="36.75" customHeight="1" x14ac:dyDescent="0.25">
      <c r="A542" s="18"/>
      <c r="B542" s="11" t="s">
        <v>1678</v>
      </c>
      <c r="C542" s="37" t="s">
        <v>1707</v>
      </c>
      <c r="D542" s="38" t="s">
        <v>1334</v>
      </c>
      <c r="E542" s="38"/>
      <c r="F542" s="72"/>
      <c r="G542" s="34">
        <v>9312</v>
      </c>
      <c r="H542" s="37" t="s">
        <v>1059</v>
      </c>
      <c r="I542" s="42">
        <f t="shared" si="55"/>
        <v>20000</v>
      </c>
      <c r="J542" s="42">
        <v>20000</v>
      </c>
      <c r="K542" s="42"/>
      <c r="L542" s="42"/>
      <c r="M542" s="42">
        <f t="shared" si="56"/>
        <v>20000</v>
      </c>
      <c r="N542" s="42">
        <v>20000</v>
      </c>
      <c r="O542" s="42"/>
      <c r="P542" s="42">
        <f t="shared" si="57"/>
        <v>20000</v>
      </c>
      <c r="Q542" s="42">
        <v>20000</v>
      </c>
    </row>
    <row r="543" spans="1:17" s="4" customFormat="1" ht="36.75" customHeight="1" x14ac:dyDescent="0.25">
      <c r="A543" s="18"/>
      <c r="B543" s="11" t="s">
        <v>1675</v>
      </c>
      <c r="C543" s="37" t="s">
        <v>1708</v>
      </c>
      <c r="D543" s="38" t="s">
        <v>1334</v>
      </c>
      <c r="E543" s="38"/>
      <c r="F543" s="72"/>
      <c r="G543" s="34">
        <v>9342</v>
      </c>
      <c r="H543" s="37" t="s">
        <v>1060</v>
      </c>
      <c r="I543" s="42">
        <f t="shared" si="55"/>
        <v>50000</v>
      </c>
      <c r="J543" s="42">
        <v>50000</v>
      </c>
      <c r="K543" s="42"/>
      <c r="L543" s="42"/>
      <c r="M543" s="42">
        <f t="shared" si="56"/>
        <v>50000</v>
      </c>
      <c r="N543" s="42">
        <v>50000</v>
      </c>
      <c r="O543" s="42"/>
      <c r="P543" s="42">
        <f t="shared" si="57"/>
        <v>50000</v>
      </c>
      <c r="Q543" s="42">
        <v>50000</v>
      </c>
    </row>
    <row r="544" spans="1:17" s="4" customFormat="1" ht="41.25" customHeight="1" x14ac:dyDescent="0.25">
      <c r="A544" s="18"/>
      <c r="B544" s="11" t="s">
        <v>961</v>
      </c>
      <c r="C544" s="37" t="s">
        <v>1339</v>
      </c>
      <c r="D544" s="37" t="s">
        <v>1339</v>
      </c>
      <c r="E544" s="38"/>
      <c r="F544" s="72"/>
      <c r="G544" s="34">
        <v>9471</v>
      </c>
      <c r="H544" s="37" t="s">
        <v>1061</v>
      </c>
      <c r="I544" s="42">
        <f t="shared" si="55"/>
        <v>50000</v>
      </c>
      <c r="J544" s="42">
        <v>50000</v>
      </c>
      <c r="K544" s="42"/>
      <c r="L544" s="42"/>
      <c r="M544" s="42">
        <f t="shared" si="56"/>
        <v>50000</v>
      </c>
      <c r="N544" s="42">
        <v>50000</v>
      </c>
      <c r="O544" s="42"/>
      <c r="P544" s="42">
        <f t="shared" si="57"/>
        <v>50000</v>
      </c>
      <c r="Q544" s="42">
        <v>50000</v>
      </c>
    </row>
    <row r="545" spans="1:17" s="4" customFormat="1" ht="42.75" customHeight="1" x14ac:dyDescent="0.25">
      <c r="A545" s="18"/>
      <c r="B545" s="11" t="s">
        <v>961</v>
      </c>
      <c r="C545" s="37" t="s">
        <v>1340</v>
      </c>
      <c r="D545" s="37" t="s">
        <v>1340</v>
      </c>
      <c r="E545" s="38"/>
      <c r="F545" s="72"/>
      <c r="G545" s="34">
        <v>9701</v>
      </c>
      <c r="H545" s="37" t="s">
        <v>1062</v>
      </c>
      <c r="I545" s="42">
        <f t="shared" si="55"/>
        <v>50000</v>
      </c>
      <c r="J545" s="42">
        <v>50000</v>
      </c>
      <c r="K545" s="42"/>
      <c r="L545" s="42"/>
      <c r="M545" s="42">
        <f t="shared" si="56"/>
        <v>50000</v>
      </c>
      <c r="N545" s="42">
        <v>50000</v>
      </c>
      <c r="O545" s="42"/>
      <c r="P545" s="42">
        <f t="shared" si="57"/>
        <v>50000</v>
      </c>
      <c r="Q545" s="42">
        <v>50000</v>
      </c>
    </row>
    <row r="546" spans="1:17" s="4" customFormat="1" ht="45.75" customHeight="1" x14ac:dyDescent="0.25">
      <c r="A546" s="18"/>
      <c r="B546" s="11" t="s">
        <v>961</v>
      </c>
      <c r="C546" s="37" t="s">
        <v>1339</v>
      </c>
      <c r="D546" s="37" t="s">
        <v>1339</v>
      </c>
      <c r="E546" s="38"/>
      <c r="F546" s="72"/>
      <c r="G546" s="34">
        <v>9998</v>
      </c>
      <c r="H546" s="37" t="s">
        <v>1063</v>
      </c>
      <c r="I546" s="42">
        <f t="shared" si="55"/>
        <v>25000</v>
      </c>
      <c r="J546" s="42">
        <v>25000</v>
      </c>
      <c r="K546" s="42"/>
      <c r="L546" s="42"/>
      <c r="M546" s="42">
        <f t="shared" si="56"/>
        <v>25000</v>
      </c>
      <c r="N546" s="42">
        <v>25000</v>
      </c>
      <c r="O546" s="42"/>
      <c r="P546" s="42">
        <f t="shared" si="57"/>
        <v>25000</v>
      </c>
      <c r="Q546" s="42">
        <v>25000</v>
      </c>
    </row>
    <row r="547" spans="1:17" s="4" customFormat="1" ht="36.75" customHeight="1" x14ac:dyDescent="0.25">
      <c r="A547" s="18"/>
      <c r="B547" s="11" t="s">
        <v>961</v>
      </c>
      <c r="C547" s="37" t="s">
        <v>1339</v>
      </c>
      <c r="D547" s="37" t="s">
        <v>1339</v>
      </c>
      <c r="E547" s="38"/>
      <c r="F547" s="72"/>
      <c r="G547" s="34">
        <v>10027</v>
      </c>
      <c r="H547" s="37" t="s">
        <v>1064</v>
      </c>
      <c r="I547" s="42">
        <f t="shared" si="55"/>
        <v>47310</v>
      </c>
      <c r="J547" s="42">
        <v>47310</v>
      </c>
      <c r="K547" s="42"/>
      <c r="L547" s="42"/>
      <c r="M547" s="42">
        <f t="shared" si="56"/>
        <v>47310</v>
      </c>
      <c r="N547" s="42">
        <v>47310</v>
      </c>
      <c r="O547" s="42"/>
      <c r="P547" s="42">
        <f t="shared" si="57"/>
        <v>47310</v>
      </c>
      <c r="Q547" s="42">
        <v>47310</v>
      </c>
    </row>
    <row r="548" spans="1:17" s="4" customFormat="1" ht="36.75" customHeight="1" x14ac:dyDescent="0.25">
      <c r="A548" s="18"/>
      <c r="B548" s="11" t="s">
        <v>961</v>
      </c>
      <c r="C548" s="37" t="s">
        <v>1339</v>
      </c>
      <c r="D548" s="37" t="s">
        <v>1339</v>
      </c>
      <c r="E548" s="38"/>
      <c r="F548" s="72"/>
      <c r="G548" s="34">
        <v>10028</v>
      </c>
      <c r="H548" s="37" t="s">
        <v>1064</v>
      </c>
      <c r="I548" s="42">
        <f t="shared" si="55"/>
        <v>1500</v>
      </c>
      <c r="J548" s="42">
        <v>1500</v>
      </c>
      <c r="K548" s="42"/>
      <c r="L548" s="42"/>
      <c r="M548" s="42">
        <f t="shared" si="56"/>
        <v>1500</v>
      </c>
      <c r="N548" s="42">
        <v>1500</v>
      </c>
      <c r="O548" s="42"/>
      <c r="P548" s="42">
        <f t="shared" si="57"/>
        <v>1500</v>
      </c>
      <c r="Q548" s="42">
        <v>1500</v>
      </c>
    </row>
    <row r="549" spans="1:17" s="4" customFormat="1" ht="36.75" customHeight="1" x14ac:dyDescent="0.25">
      <c r="A549" s="18"/>
      <c r="B549" s="11" t="s">
        <v>1678</v>
      </c>
      <c r="C549" s="37" t="s">
        <v>1709</v>
      </c>
      <c r="D549" s="38" t="s">
        <v>1065</v>
      </c>
      <c r="E549" s="38"/>
      <c r="F549" s="72"/>
      <c r="G549" s="34">
        <v>2522</v>
      </c>
      <c r="H549" s="37" t="s">
        <v>1065</v>
      </c>
      <c r="I549" s="42">
        <f t="shared" si="55"/>
        <v>15750</v>
      </c>
      <c r="J549" s="42">
        <v>15750</v>
      </c>
      <c r="K549" s="42"/>
      <c r="L549" s="42"/>
      <c r="M549" s="42">
        <f t="shared" si="56"/>
        <v>15750</v>
      </c>
      <c r="N549" s="42">
        <v>15750</v>
      </c>
      <c r="O549" s="42"/>
      <c r="P549" s="42">
        <f t="shared" si="57"/>
        <v>15750</v>
      </c>
      <c r="Q549" s="42">
        <v>15750</v>
      </c>
    </row>
    <row r="550" spans="1:17" s="4" customFormat="1" ht="36.75" customHeight="1" x14ac:dyDescent="0.25">
      <c r="A550" s="18"/>
      <c r="B550" s="11" t="s">
        <v>1678</v>
      </c>
      <c r="C550" s="37" t="s">
        <v>1709</v>
      </c>
      <c r="D550" s="38" t="s">
        <v>1065</v>
      </c>
      <c r="E550" s="38"/>
      <c r="F550" s="72"/>
      <c r="G550" s="34">
        <v>2835</v>
      </c>
      <c r="H550" s="37" t="s">
        <v>1066</v>
      </c>
      <c r="I550" s="42">
        <f t="shared" si="55"/>
        <v>30000</v>
      </c>
      <c r="J550" s="42">
        <v>30000</v>
      </c>
      <c r="K550" s="42"/>
      <c r="L550" s="42"/>
      <c r="M550" s="42">
        <f t="shared" si="56"/>
        <v>30000</v>
      </c>
      <c r="N550" s="42">
        <v>30000</v>
      </c>
      <c r="O550" s="42"/>
      <c r="P550" s="42">
        <f t="shared" si="57"/>
        <v>30000</v>
      </c>
      <c r="Q550" s="42">
        <v>30000</v>
      </c>
    </row>
    <row r="551" spans="1:17" s="4" customFormat="1" ht="36.75" customHeight="1" x14ac:dyDescent="0.25">
      <c r="A551" s="18"/>
      <c r="B551" s="11" t="s">
        <v>1710</v>
      </c>
      <c r="C551" s="37" t="s">
        <v>1711</v>
      </c>
      <c r="D551" s="38" t="s">
        <v>741</v>
      </c>
      <c r="E551" s="38"/>
      <c r="F551" s="72"/>
      <c r="G551" s="34">
        <v>2604</v>
      </c>
      <c r="H551" s="37" t="s">
        <v>1067</v>
      </c>
      <c r="I551" s="42">
        <f>J551/1.18</f>
        <v>45911.016949152545</v>
      </c>
      <c r="J551" s="42">
        <v>54175</v>
      </c>
      <c r="K551" s="42"/>
      <c r="L551" s="42"/>
      <c r="M551" s="42">
        <f>N551/1.18</f>
        <v>45911.016949152545</v>
      </c>
      <c r="N551" s="42">
        <v>54175</v>
      </c>
      <c r="O551" s="42"/>
      <c r="P551" s="42">
        <f t="shared" si="57"/>
        <v>45911.016949152545</v>
      </c>
      <c r="Q551" s="42">
        <v>54175</v>
      </c>
    </row>
    <row r="552" spans="1:17" s="4" customFormat="1" ht="36.75" customHeight="1" x14ac:dyDescent="0.25">
      <c r="A552" s="18"/>
      <c r="B552" s="11" t="s">
        <v>1712</v>
      </c>
      <c r="C552" s="37" t="s">
        <v>1714</v>
      </c>
      <c r="D552" s="38" t="s">
        <v>1713</v>
      </c>
      <c r="E552" s="38"/>
      <c r="F552" s="72"/>
      <c r="G552" s="34">
        <v>2754</v>
      </c>
      <c r="H552" s="37" t="s">
        <v>1068</v>
      </c>
      <c r="I552" s="42">
        <f>J552</f>
        <v>46280</v>
      </c>
      <c r="J552" s="42">
        <v>46280</v>
      </c>
      <c r="K552" s="42"/>
      <c r="L552" s="42"/>
      <c r="M552" s="42">
        <f>N552</f>
        <v>46280</v>
      </c>
      <c r="N552" s="42">
        <v>46280</v>
      </c>
      <c r="O552" s="42"/>
      <c r="P552" s="42">
        <f t="shared" si="57"/>
        <v>46280</v>
      </c>
      <c r="Q552" s="42">
        <v>46280</v>
      </c>
    </row>
    <row r="553" spans="1:17" s="4" customFormat="1" ht="36.75" customHeight="1" x14ac:dyDescent="0.25">
      <c r="A553" s="18"/>
      <c r="B553" s="402" t="s">
        <v>1715</v>
      </c>
      <c r="C553" s="20" t="s">
        <v>1716</v>
      </c>
      <c r="D553" s="38" t="s">
        <v>1065</v>
      </c>
      <c r="E553" s="38"/>
      <c r="F553" s="72"/>
      <c r="G553" s="34">
        <v>2940</v>
      </c>
      <c r="H553" s="37" t="s">
        <v>1069</v>
      </c>
      <c r="I553" s="42">
        <f>J553/1.18</f>
        <v>68875</v>
      </c>
      <c r="J553" s="42">
        <v>81272.5</v>
      </c>
      <c r="K553" s="42"/>
      <c r="L553" s="42"/>
      <c r="M553" s="42">
        <f>N553/1.18</f>
        <v>68875</v>
      </c>
      <c r="N553" s="42">
        <v>81272.5</v>
      </c>
      <c r="O553" s="42"/>
      <c r="P553" s="42">
        <f t="shared" si="57"/>
        <v>68875</v>
      </c>
      <c r="Q553" s="42">
        <v>81272.5</v>
      </c>
    </row>
    <row r="554" spans="1:17" s="4" customFormat="1" ht="36.75" customHeight="1" x14ac:dyDescent="0.25">
      <c r="A554" s="18"/>
      <c r="B554" s="418"/>
      <c r="C554" s="20" t="s">
        <v>1717</v>
      </c>
      <c r="D554" s="38" t="s">
        <v>1070</v>
      </c>
      <c r="E554" s="38"/>
      <c r="F554" s="72"/>
      <c r="G554" s="34">
        <v>3150</v>
      </c>
      <c r="H554" s="37" t="s">
        <v>1070</v>
      </c>
      <c r="I554" s="42">
        <f t="shared" ref="I554:I617" si="58">J554/1.18</f>
        <v>69067.796610169491</v>
      </c>
      <c r="J554" s="42">
        <v>81500</v>
      </c>
      <c r="K554" s="42"/>
      <c r="L554" s="42"/>
      <c r="M554" s="42">
        <f t="shared" ref="M554:M617" si="59">N554/1.18</f>
        <v>69067.796610169491</v>
      </c>
      <c r="N554" s="42">
        <v>81500</v>
      </c>
      <c r="O554" s="42"/>
      <c r="P554" s="42">
        <f t="shared" si="57"/>
        <v>69067.796610169491</v>
      </c>
      <c r="Q554" s="42">
        <v>81500</v>
      </c>
    </row>
    <row r="555" spans="1:17" s="4" customFormat="1" ht="36.75" customHeight="1" x14ac:dyDescent="0.25">
      <c r="A555" s="18"/>
      <c r="B555" s="418"/>
      <c r="C555" s="20" t="s">
        <v>1718</v>
      </c>
      <c r="D555" s="38" t="s">
        <v>1071</v>
      </c>
      <c r="E555" s="38"/>
      <c r="F555" s="72"/>
      <c r="G555" s="34">
        <v>3321</v>
      </c>
      <c r="H555" s="37" t="s">
        <v>1071</v>
      </c>
      <c r="I555" s="42">
        <f t="shared" si="58"/>
        <v>71630</v>
      </c>
      <c r="J555" s="42">
        <v>84523.4</v>
      </c>
      <c r="K555" s="42"/>
      <c r="L555" s="42"/>
      <c r="M555" s="42">
        <f t="shared" si="59"/>
        <v>71630</v>
      </c>
      <c r="N555" s="42">
        <v>84523.4</v>
      </c>
      <c r="O555" s="42"/>
      <c r="P555" s="42">
        <f t="shared" si="57"/>
        <v>71630</v>
      </c>
      <c r="Q555" s="42">
        <v>84523.4</v>
      </c>
    </row>
    <row r="556" spans="1:17" s="4" customFormat="1" ht="36.75" customHeight="1" x14ac:dyDescent="0.25">
      <c r="A556" s="18"/>
      <c r="B556" s="418"/>
      <c r="C556" s="20" t="s">
        <v>1720</v>
      </c>
      <c r="D556" s="38" t="s">
        <v>1719</v>
      </c>
      <c r="E556" s="38"/>
      <c r="F556" s="72"/>
      <c r="G556" s="34">
        <v>3600</v>
      </c>
      <c r="H556" s="37" t="s">
        <v>1072</v>
      </c>
      <c r="I556" s="42">
        <f t="shared" si="58"/>
        <v>76271.186440677964</v>
      </c>
      <c r="J556" s="42">
        <v>90000</v>
      </c>
      <c r="K556" s="42"/>
      <c r="L556" s="42"/>
      <c r="M556" s="42">
        <f t="shared" si="59"/>
        <v>76271.186440677964</v>
      </c>
      <c r="N556" s="42">
        <v>90000</v>
      </c>
      <c r="O556" s="42"/>
      <c r="P556" s="42">
        <f t="shared" si="57"/>
        <v>76271.186440677964</v>
      </c>
      <c r="Q556" s="42">
        <v>90000</v>
      </c>
    </row>
    <row r="557" spans="1:17" s="4" customFormat="1" ht="36.75" customHeight="1" x14ac:dyDescent="0.25">
      <c r="A557" s="18"/>
      <c r="B557" s="418"/>
      <c r="C557" s="20" t="s">
        <v>1721</v>
      </c>
      <c r="D557" s="38" t="s">
        <v>1719</v>
      </c>
      <c r="E557" s="38"/>
      <c r="F557" s="72"/>
      <c r="G557" s="34">
        <v>3629</v>
      </c>
      <c r="H557" s="37" t="s">
        <v>1073</v>
      </c>
      <c r="I557" s="42">
        <f t="shared" si="58"/>
        <v>67796.610169491527</v>
      </c>
      <c r="J557" s="42">
        <v>80000</v>
      </c>
      <c r="K557" s="42"/>
      <c r="L557" s="42"/>
      <c r="M557" s="42">
        <f t="shared" si="59"/>
        <v>67796.610169491527</v>
      </c>
      <c r="N557" s="42">
        <v>80000</v>
      </c>
      <c r="O557" s="42"/>
      <c r="P557" s="42">
        <f t="shared" si="57"/>
        <v>67796.610169491527</v>
      </c>
      <c r="Q557" s="42">
        <v>80000</v>
      </c>
    </row>
    <row r="558" spans="1:17" s="4" customFormat="1" ht="36.75" customHeight="1" x14ac:dyDescent="0.25">
      <c r="A558" s="18"/>
      <c r="B558" s="418"/>
      <c r="C558" s="20" t="s">
        <v>1722</v>
      </c>
      <c r="D558" s="38" t="s">
        <v>1138</v>
      </c>
      <c r="E558" s="38"/>
      <c r="F558" s="72"/>
      <c r="G558" s="34">
        <v>3723</v>
      </c>
      <c r="H558" s="37" t="s">
        <v>1074</v>
      </c>
      <c r="I558" s="42">
        <f t="shared" si="58"/>
        <v>76271.186440677964</v>
      </c>
      <c r="J558" s="42">
        <v>90000</v>
      </c>
      <c r="K558" s="42"/>
      <c r="L558" s="42"/>
      <c r="M558" s="42">
        <f t="shared" si="59"/>
        <v>76271.186440677964</v>
      </c>
      <c r="N558" s="42">
        <v>90000</v>
      </c>
      <c r="O558" s="42"/>
      <c r="P558" s="42">
        <f t="shared" si="57"/>
        <v>76271.186440677964</v>
      </c>
      <c r="Q558" s="42">
        <v>90000</v>
      </c>
    </row>
    <row r="559" spans="1:17" s="4" customFormat="1" ht="36.75" customHeight="1" x14ac:dyDescent="0.25">
      <c r="A559" s="18"/>
      <c r="B559" s="418"/>
      <c r="C559" s="20" t="s">
        <v>1723</v>
      </c>
      <c r="D559" s="38" t="s">
        <v>1167</v>
      </c>
      <c r="E559" s="38"/>
      <c r="F559" s="72"/>
      <c r="G559" s="34">
        <v>4183</v>
      </c>
      <c r="H559" s="37" t="s">
        <v>1075</v>
      </c>
      <c r="I559" s="42">
        <f t="shared" si="58"/>
        <v>71186.440677966108</v>
      </c>
      <c r="J559" s="42">
        <v>84000</v>
      </c>
      <c r="K559" s="42"/>
      <c r="L559" s="42"/>
      <c r="M559" s="42">
        <f t="shared" si="59"/>
        <v>71186.440677966108</v>
      </c>
      <c r="N559" s="42">
        <v>84000</v>
      </c>
      <c r="O559" s="42"/>
      <c r="P559" s="42">
        <f t="shared" si="57"/>
        <v>71186.440677966108</v>
      </c>
      <c r="Q559" s="42">
        <v>84000</v>
      </c>
    </row>
    <row r="560" spans="1:17" s="4" customFormat="1" ht="36.75" customHeight="1" x14ac:dyDescent="0.25">
      <c r="A560" s="18"/>
      <c r="B560" s="418"/>
      <c r="C560" s="20" t="s">
        <v>1724</v>
      </c>
      <c r="D560" s="38" t="s">
        <v>1167</v>
      </c>
      <c r="E560" s="38"/>
      <c r="F560" s="72"/>
      <c r="G560" s="34">
        <v>4237</v>
      </c>
      <c r="H560" s="37" t="s">
        <v>1076</v>
      </c>
      <c r="I560" s="42">
        <f>J560/1.18</f>
        <v>70813.559322033907</v>
      </c>
      <c r="J560" s="42">
        <v>83560</v>
      </c>
      <c r="K560" s="42"/>
      <c r="L560" s="42"/>
      <c r="M560" s="42">
        <f>N560/1.18</f>
        <v>70813.559322033907</v>
      </c>
      <c r="N560" s="42">
        <v>83560</v>
      </c>
      <c r="O560" s="42"/>
      <c r="P560" s="42">
        <f t="shared" si="57"/>
        <v>70813.559322033907</v>
      </c>
      <c r="Q560" s="42">
        <v>83560</v>
      </c>
    </row>
    <row r="561" spans="1:17" s="4" customFormat="1" ht="36.75" customHeight="1" x14ac:dyDescent="0.25">
      <c r="A561" s="18"/>
      <c r="B561" s="418"/>
      <c r="C561" s="20" t="s">
        <v>1726</v>
      </c>
      <c r="D561" s="38" t="s">
        <v>1725</v>
      </c>
      <c r="E561" s="38"/>
      <c r="F561" s="72"/>
      <c r="G561" s="34">
        <v>4442</v>
      </c>
      <c r="H561" s="37" t="s">
        <v>1077</v>
      </c>
      <c r="I561" s="42">
        <f t="shared" si="58"/>
        <v>51858.008474576272</v>
      </c>
      <c r="J561" s="42">
        <v>61192.45</v>
      </c>
      <c r="K561" s="42"/>
      <c r="L561" s="42"/>
      <c r="M561" s="42">
        <f t="shared" si="59"/>
        <v>51858.008474576272</v>
      </c>
      <c r="N561" s="42">
        <v>61192.45</v>
      </c>
      <c r="O561" s="42"/>
      <c r="P561" s="42">
        <f t="shared" si="57"/>
        <v>51858.008474576272</v>
      </c>
      <c r="Q561" s="42">
        <v>61192.45</v>
      </c>
    </row>
    <row r="562" spans="1:17" s="4" customFormat="1" ht="36.75" customHeight="1" x14ac:dyDescent="0.25">
      <c r="A562" s="18"/>
      <c r="B562" s="418"/>
      <c r="C562" s="20" t="s">
        <v>1728</v>
      </c>
      <c r="D562" s="38" t="s">
        <v>1727</v>
      </c>
      <c r="E562" s="38"/>
      <c r="F562" s="72"/>
      <c r="G562" s="34">
        <v>4496</v>
      </c>
      <c r="H562" s="37" t="s">
        <v>1078</v>
      </c>
      <c r="I562" s="42">
        <f t="shared" si="58"/>
        <v>75250</v>
      </c>
      <c r="J562" s="42">
        <v>88795</v>
      </c>
      <c r="K562" s="42"/>
      <c r="L562" s="42"/>
      <c r="M562" s="42">
        <f t="shared" si="59"/>
        <v>75250</v>
      </c>
      <c r="N562" s="42">
        <v>88795</v>
      </c>
      <c r="O562" s="42"/>
      <c r="P562" s="42">
        <f t="shared" si="57"/>
        <v>75250</v>
      </c>
      <c r="Q562" s="42">
        <v>88795</v>
      </c>
    </row>
    <row r="563" spans="1:17" s="4" customFormat="1" ht="36.75" customHeight="1" x14ac:dyDescent="0.25">
      <c r="A563" s="18"/>
      <c r="B563" s="418"/>
      <c r="C563" s="20" t="s">
        <v>1730</v>
      </c>
      <c r="D563" s="38" t="s">
        <v>1729</v>
      </c>
      <c r="E563" s="38"/>
      <c r="F563" s="72"/>
      <c r="G563" s="34">
        <v>4634</v>
      </c>
      <c r="H563" s="37" t="s">
        <v>1079</v>
      </c>
      <c r="I563" s="42">
        <f t="shared" si="58"/>
        <v>156520</v>
      </c>
      <c r="J563" s="42">
        <v>184693.6</v>
      </c>
      <c r="K563" s="42"/>
      <c r="L563" s="42"/>
      <c r="M563" s="42">
        <f t="shared" si="59"/>
        <v>156520</v>
      </c>
      <c r="N563" s="42">
        <v>184693.6</v>
      </c>
      <c r="O563" s="42"/>
      <c r="P563" s="42">
        <f t="shared" si="57"/>
        <v>156520</v>
      </c>
      <c r="Q563" s="42">
        <v>184693.6</v>
      </c>
    </row>
    <row r="564" spans="1:17" s="4" customFormat="1" ht="36.75" customHeight="1" x14ac:dyDescent="0.25">
      <c r="A564" s="18"/>
      <c r="B564" s="418"/>
      <c r="C564" s="20" t="s">
        <v>1732</v>
      </c>
      <c r="D564" s="38" t="s">
        <v>1731</v>
      </c>
      <c r="E564" s="38"/>
      <c r="F564" s="72"/>
      <c r="G564" s="34">
        <v>4836</v>
      </c>
      <c r="H564" s="37" t="s">
        <v>1080</v>
      </c>
      <c r="I564" s="42">
        <f t="shared" si="58"/>
        <v>156520</v>
      </c>
      <c r="J564" s="42">
        <v>184693.6</v>
      </c>
      <c r="K564" s="42"/>
      <c r="L564" s="42"/>
      <c r="M564" s="42">
        <f t="shared" si="59"/>
        <v>156520</v>
      </c>
      <c r="N564" s="42">
        <v>184693.6</v>
      </c>
      <c r="O564" s="42"/>
      <c r="P564" s="42">
        <f t="shared" si="57"/>
        <v>156520</v>
      </c>
      <c r="Q564" s="42">
        <v>184693.6</v>
      </c>
    </row>
    <row r="565" spans="1:17" s="4" customFormat="1" ht="36.75" customHeight="1" x14ac:dyDescent="0.25">
      <c r="A565" s="18"/>
      <c r="B565" s="418"/>
      <c r="C565" s="20" t="s">
        <v>1734</v>
      </c>
      <c r="D565" s="38" t="s">
        <v>1733</v>
      </c>
      <c r="E565" s="38"/>
      <c r="F565" s="72"/>
      <c r="G565" s="34">
        <v>4997</v>
      </c>
      <c r="H565" s="37" t="s">
        <v>1081</v>
      </c>
      <c r="I565" s="42">
        <f t="shared" si="58"/>
        <v>156520</v>
      </c>
      <c r="J565" s="42">
        <v>184693.6</v>
      </c>
      <c r="K565" s="42"/>
      <c r="L565" s="42"/>
      <c r="M565" s="42">
        <f t="shared" si="59"/>
        <v>156520</v>
      </c>
      <c r="N565" s="42">
        <v>184693.6</v>
      </c>
      <c r="O565" s="42"/>
      <c r="P565" s="42">
        <f t="shared" si="57"/>
        <v>156520</v>
      </c>
      <c r="Q565" s="42">
        <v>184693.6</v>
      </c>
    </row>
    <row r="566" spans="1:17" s="4" customFormat="1" ht="36.75" customHeight="1" x14ac:dyDescent="0.25">
      <c r="A566" s="18"/>
      <c r="B566" s="418"/>
      <c r="C566" s="20" t="s">
        <v>1735</v>
      </c>
      <c r="D566" s="38" t="s">
        <v>1170</v>
      </c>
      <c r="E566" s="38"/>
      <c r="F566" s="72"/>
      <c r="G566" s="34">
        <v>5138</v>
      </c>
      <c r="H566" s="37" t="s">
        <v>1082</v>
      </c>
      <c r="I566" s="42">
        <f>J566/1.18</f>
        <v>126420.00000000001</v>
      </c>
      <c r="J566" s="42">
        <v>149175.6</v>
      </c>
      <c r="K566" s="42"/>
      <c r="L566" s="42"/>
      <c r="M566" s="42">
        <f>N566/1.18</f>
        <v>126420.00000000001</v>
      </c>
      <c r="N566" s="42">
        <v>149175.6</v>
      </c>
      <c r="O566" s="42"/>
      <c r="P566" s="42">
        <f t="shared" si="57"/>
        <v>126420.00000000001</v>
      </c>
      <c r="Q566" s="42">
        <v>149175.6</v>
      </c>
    </row>
    <row r="567" spans="1:17" s="4" customFormat="1" ht="36.75" customHeight="1" x14ac:dyDescent="0.25">
      <c r="A567" s="18"/>
      <c r="B567" s="418"/>
      <c r="C567" s="20" t="s">
        <v>1736</v>
      </c>
      <c r="D567" s="38" t="s">
        <v>1170</v>
      </c>
      <c r="E567" s="38"/>
      <c r="F567" s="72"/>
      <c r="G567" s="34">
        <v>5139</v>
      </c>
      <c r="H567" s="37" t="s">
        <v>1082</v>
      </c>
      <c r="I567" s="42">
        <f t="shared" si="58"/>
        <v>1144.0000000000002</v>
      </c>
      <c r="J567" s="42">
        <v>1349.92</v>
      </c>
      <c r="K567" s="42"/>
      <c r="L567" s="42"/>
      <c r="M567" s="42">
        <f t="shared" si="59"/>
        <v>1144.0000000000002</v>
      </c>
      <c r="N567" s="42">
        <v>1349.92</v>
      </c>
      <c r="O567" s="42"/>
      <c r="P567" s="42">
        <f t="shared" si="57"/>
        <v>1144.0000000000002</v>
      </c>
      <c r="Q567" s="42">
        <v>1349.92</v>
      </c>
    </row>
    <row r="568" spans="1:17" s="4" customFormat="1" ht="36.75" customHeight="1" x14ac:dyDescent="0.25">
      <c r="A568" s="18"/>
      <c r="B568" s="418"/>
      <c r="C568" s="20" t="s">
        <v>1737</v>
      </c>
      <c r="D568" s="38" t="s">
        <v>1166</v>
      </c>
      <c r="E568" s="38"/>
      <c r="F568" s="72"/>
      <c r="G568" s="34">
        <v>5304</v>
      </c>
      <c r="H568" s="37" t="s">
        <v>1083</v>
      </c>
      <c r="I568" s="42">
        <f t="shared" si="58"/>
        <v>201670.00000000003</v>
      </c>
      <c r="J568" s="42">
        <v>237970.6</v>
      </c>
      <c r="K568" s="42"/>
      <c r="L568" s="42"/>
      <c r="M568" s="42">
        <f t="shared" si="59"/>
        <v>201670.00000000003</v>
      </c>
      <c r="N568" s="42">
        <v>237970.6</v>
      </c>
      <c r="O568" s="42"/>
      <c r="P568" s="42">
        <f t="shared" si="57"/>
        <v>201670.00000000003</v>
      </c>
      <c r="Q568" s="42">
        <v>237970.6</v>
      </c>
    </row>
    <row r="569" spans="1:17" s="4" customFormat="1" ht="36.75" customHeight="1" x14ac:dyDescent="0.25">
      <c r="A569" s="18"/>
      <c r="B569" s="418"/>
      <c r="C569" s="20" t="s">
        <v>1738</v>
      </c>
      <c r="D569" s="38" t="s">
        <v>1084</v>
      </c>
      <c r="E569" s="38"/>
      <c r="F569" s="72"/>
      <c r="G569" s="34">
        <v>5469</v>
      </c>
      <c r="H569" s="37" t="s">
        <v>1084</v>
      </c>
      <c r="I569" s="42">
        <f t="shared" si="58"/>
        <v>162540.00000000003</v>
      </c>
      <c r="J569" s="42">
        <v>191797.2</v>
      </c>
      <c r="K569" s="42"/>
      <c r="L569" s="42"/>
      <c r="M569" s="42">
        <f t="shared" si="59"/>
        <v>162540.00000000003</v>
      </c>
      <c r="N569" s="42">
        <v>191797.2</v>
      </c>
      <c r="O569" s="42"/>
      <c r="P569" s="42">
        <f t="shared" si="57"/>
        <v>162540.00000000003</v>
      </c>
      <c r="Q569" s="42">
        <v>191797.2</v>
      </c>
    </row>
    <row r="570" spans="1:17" s="4" customFormat="1" ht="36.75" customHeight="1" x14ac:dyDescent="0.25">
      <c r="A570" s="18"/>
      <c r="B570" s="418"/>
      <c r="C570" s="20" t="s">
        <v>1739</v>
      </c>
      <c r="D570" s="38" t="s">
        <v>1176</v>
      </c>
      <c r="E570" s="38"/>
      <c r="F570" s="72"/>
      <c r="G570" s="34">
        <v>5639</v>
      </c>
      <c r="H570" s="37" t="s">
        <v>1085</v>
      </c>
      <c r="I570" s="42">
        <f t="shared" si="58"/>
        <v>162540.00000000003</v>
      </c>
      <c r="J570" s="42">
        <v>191797.2</v>
      </c>
      <c r="K570" s="42"/>
      <c r="L570" s="42"/>
      <c r="M570" s="42">
        <f t="shared" si="59"/>
        <v>162540.00000000003</v>
      </c>
      <c r="N570" s="42">
        <v>191797.2</v>
      </c>
      <c r="O570" s="42"/>
      <c r="P570" s="42">
        <f t="shared" si="57"/>
        <v>162540.00000000003</v>
      </c>
      <c r="Q570" s="42">
        <v>191797.2</v>
      </c>
    </row>
    <row r="571" spans="1:17" s="4" customFormat="1" ht="36.75" customHeight="1" x14ac:dyDescent="0.25">
      <c r="A571" s="18"/>
      <c r="B571" s="418"/>
      <c r="C571" s="20" t="s">
        <v>1740</v>
      </c>
      <c r="D571" s="38" t="s">
        <v>1279</v>
      </c>
      <c r="E571" s="38"/>
      <c r="F571" s="72"/>
      <c r="G571" s="34">
        <v>5810</v>
      </c>
      <c r="H571" s="37" t="s">
        <v>1086</v>
      </c>
      <c r="I571" s="42">
        <f t="shared" si="58"/>
        <v>150500</v>
      </c>
      <c r="J571" s="42">
        <v>177590</v>
      </c>
      <c r="K571" s="42"/>
      <c r="L571" s="42"/>
      <c r="M571" s="42">
        <f t="shared" si="59"/>
        <v>150500</v>
      </c>
      <c r="N571" s="42">
        <v>177590</v>
      </c>
      <c r="O571" s="42"/>
      <c r="P571" s="42">
        <f t="shared" si="57"/>
        <v>150500</v>
      </c>
      <c r="Q571" s="42">
        <v>177590</v>
      </c>
    </row>
    <row r="572" spans="1:17" s="4" customFormat="1" ht="36.75" customHeight="1" x14ac:dyDescent="0.25">
      <c r="A572" s="18"/>
      <c r="B572" s="418"/>
      <c r="C572" s="37" t="s">
        <v>1341</v>
      </c>
      <c r="D572" s="38"/>
      <c r="E572" s="38"/>
      <c r="F572" s="72"/>
      <c r="G572" s="34">
        <v>5953</v>
      </c>
      <c r="H572" s="37" t="s">
        <v>1087</v>
      </c>
      <c r="I572" s="42">
        <f>J572/1.18</f>
        <v>67796.610169491527</v>
      </c>
      <c r="J572" s="42">
        <v>80000</v>
      </c>
      <c r="K572" s="42"/>
      <c r="L572" s="42"/>
      <c r="M572" s="42">
        <f>N572/1.18</f>
        <v>67796.610169491527</v>
      </c>
      <c r="N572" s="42">
        <v>80000</v>
      </c>
      <c r="O572" s="42"/>
      <c r="P572" s="42">
        <f t="shared" si="57"/>
        <v>67796.610169491527</v>
      </c>
      <c r="Q572" s="42">
        <v>80000</v>
      </c>
    </row>
    <row r="573" spans="1:17" s="4" customFormat="1" ht="36.75" customHeight="1" x14ac:dyDescent="0.25">
      <c r="A573" s="18"/>
      <c r="B573" s="418"/>
      <c r="C573" s="37" t="s">
        <v>1341</v>
      </c>
      <c r="D573" s="38"/>
      <c r="E573" s="38"/>
      <c r="F573" s="72"/>
      <c r="G573" s="34">
        <v>6063</v>
      </c>
      <c r="H573" s="37" t="s">
        <v>1088</v>
      </c>
      <c r="I573" s="42">
        <f t="shared" si="58"/>
        <v>67653.389830508473</v>
      </c>
      <c r="J573" s="42">
        <v>79831</v>
      </c>
      <c r="K573" s="42"/>
      <c r="L573" s="42"/>
      <c r="M573" s="42">
        <f t="shared" si="59"/>
        <v>67653.389830508473</v>
      </c>
      <c r="N573" s="42">
        <v>79831</v>
      </c>
      <c r="O573" s="42"/>
      <c r="P573" s="42">
        <f t="shared" si="57"/>
        <v>67653.389830508473</v>
      </c>
      <c r="Q573" s="42">
        <v>79831</v>
      </c>
    </row>
    <row r="574" spans="1:17" s="4" customFormat="1" ht="36.75" customHeight="1" x14ac:dyDescent="0.25">
      <c r="A574" s="18"/>
      <c r="B574" s="418"/>
      <c r="C574" s="37" t="s">
        <v>1342</v>
      </c>
      <c r="D574" s="38"/>
      <c r="E574" s="38"/>
      <c r="F574" s="72"/>
      <c r="G574" s="34">
        <v>6187</v>
      </c>
      <c r="H574" s="37" t="s">
        <v>1089</v>
      </c>
      <c r="I574" s="42">
        <f t="shared" si="58"/>
        <v>67653.389830508473</v>
      </c>
      <c r="J574" s="42">
        <v>79831</v>
      </c>
      <c r="K574" s="42"/>
      <c r="L574" s="42"/>
      <c r="M574" s="42">
        <f t="shared" si="59"/>
        <v>67653.389830508473</v>
      </c>
      <c r="N574" s="42">
        <v>79831</v>
      </c>
      <c r="O574" s="42"/>
      <c r="P574" s="42">
        <f t="shared" si="57"/>
        <v>67653.389830508473</v>
      </c>
      <c r="Q574" s="42">
        <v>79831</v>
      </c>
    </row>
    <row r="575" spans="1:17" s="4" customFormat="1" ht="36.75" customHeight="1" x14ac:dyDescent="0.25">
      <c r="A575" s="18"/>
      <c r="B575" s="418"/>
      <c r="C575" s="37" t="s">
        <v>1342</v>
      </c>
      <c r="D575" s="38"/>
      <c r="E575" s="38"/>
      <c r="F575" s="72"/>
      <c r="G575" s="34">
        <v>6297</v>
      </c>
      <c r="H575" s="37" t="s">
        <v>1090</v>
      </c>
      <c r="I575" s="42">
        <f t="shared" si="58"/>
        <v>67796.610169491527</v>
      </c>
      <c r="J575" s="42">
        <v>80000</v>
      </c>
      <c r="K575" s="42"/>
      <c r="L575" s="42"/>
      <c r="M575" s="42">
        <f t="shared" si="59"/>
        <v>67796.610169491527</v>
      </c>
      <c r="N575" s="42">
        <v>80000</v>
      </c>
      <c r="O575" s="42"/>
      <c r="P575" s="42">
        <f t="shared" si="57"/>
        <v>67796.610169491527</v>
      </c>
      <c r="Q575" s="42">
        <v>80000</v>
      </c>
    </row>
    <row r="576" spans="1:17" s="4" customFormat="1" ht="36.75" customHeight="1" x14ac:dyDescent="0.25">
      <c r="A576" s="18"/>
      <c r="B576" s="418"/>
      <c r="C576" s="37" t="s">
        <v>1343</v>
      </c>
      <c r="D576" s="38"/>
      <c r="E576" s="38"/>
      <c r="F576" s="72"/>
      <c r="G576" s="34">
        <v>6426</v>
      </c>
      <c r="H576" s="37" t="s">
        <v>1091</v>
      </c>
      <c r="I576" s="42">
        <f t="shared" si="58"/>
        <v>135450</v>
      </c>
      <c r="J576" s="42">
        <v>159831</v>
      </c>
      <c r="K576" s="42"/>
      <c r="L576" s="42"/>
      <c r="M576" s="42">
        <f t="shared" si="59"/>
        <v>135450</v>
      </c>
      <c r="N576" s="42">
        <v>159831</v>
      </c>
      <c r="O576" s="42"/>
      <c r="P576" s="42">
        <f t="shared" si="57"/>
        <v>135450</v>
      </c>
      <c r="Q576" s="42">
        <v>159831</v>
      </c>
    </row>
    <row r="577" spans="1:17" s="4" customFormat="1" ht="36.75" customHeight="1" x14ac:dyDescent="0.25">
      <c r="A577" s="18"/>
      <c r="B577" s="418"/>
      <c r="C577" s="37" t="s">
        <v>1344</v>
      </c>
      <c r="D577" s="38"/>
      <c r="E577" s="38"/>
      <c r="F577" s="72"/>
      <c r="G577" s="34">
        <v>6700</v>
      </c>
      <c r="H577" s="37" t="s">
        <v>1092</v>
      </c>
      <c r="I577" s="42">
        <f t="shared" si="58"/>
        <v>135450</v>
      </c>
      <c r="J577" s="42">
        <v>159831</v>
      </c>
      <c r="K577" s="42"/>
      <c r="L577" s="42"/>
      <c r="M577" s="42">
        <f t="shared" si="59"/>
        <v>135450</v>
      </c>
      <c r="N577" s="42">
        <v>159831</v>
      </c>
      <c r="O577" s="42"/>
      <c r="P577" s="42">
        <f t="shared" si="57"/>
        <v>135450</v>
      </c>
      <c r="Q577" s="42">
        <v>159831</v>
      </c>
    </row>
    <row r="578" spans="1:17" s="4" customFormat="1" ht="36.75" customHeight="1" x14ac:dyDescent="0.25">
      <c r="A578" s="18"/>
      <c r="B578" s="418"/>
      <c r="C578" s="37" t="s">
        <v>1345</v>
      </c>
      <c r="D578" s="38"/>
      <c r="E578" s="38"/>
      <c r="F578" s="72"/>
      <c r="G578" s="34">
        <v>6949</v>
      </c>
      <c r="H578" s="37" t="s">
        <v>1093</v>
      </c>
      <c r="I578" s="42">
        <f>J578/1.18</f>
        <v>144826.00847457629</v>
      </c>
      <c r="J578" s="42">
        <v>170894.69</v>
      </c>
      <c r="K578" s="42"/>
      <c r="L578" s="42"/>
      <c r="M578" s="42">
        <f>N578/1.18</f>
        <v>144826.00847457629</v>
      </c>
      <c r="N578" s="42">
        <v>170894.69</v>
      </c>
      <c r="O578" s="42"/>
      <c r="P578" s="42">
        <f t="shared" si="57"/>
        <v>144826.00847457629</v>
      </c>
      <c r="Q578" s="42">
        <v>170894.69</v>
      </c>
    </row>
    <row r="579" spans="1:17" s="4" customFormat="1" ht="36.75" customHeight="1" x14ac:dyDescent="0.25">
      <c r="A579" s="18"/>
      <c r="B579" s="418"/>
      <c r="C579" s="37" t="s">
        <v>1346</v>
      </c>
      <c r="D579" s="38"/>
      <c r="E579" s="38"/>
      <c r="F579" s="72"/>
      <c r="G579" s="34">
        <v>7181</v>
      </c>
      <c r="H579" s="37" t="s">
        <v>1094</v>
      </c>
      <c r="I579" s="42">
        <f t="shared" si="58"/>
        <v>159530</v>
      </c>
      <c r="J579" s="42">
        <v>188245.4</v>
      </c>
      <c r="K579" s="42"/>
      <c r="L579" s="42"/>
      <c r="M579" s="42">
        <f t="shared" si="59"/>
        <v>159530</v>
      </c>
      <c r="N579" s="42">
        <v>188245.4</v>
      </c>
      <c r="O579" s="42"/>
      <c r="P579" s="42">
        <f t="shared" si="57"/>
        <v>159530</v>
      </c>
      <c r="Q579" s="42">
        <v>188245.4</v>
      </c>
    </row>
    <row r="580" spans="1:17" s="4" customFormat="1" ht="36.75" customHeight="1" x14ac:dyDescent="0.25">
      <c r="A580" s="18"/>
      <c r="B580" s="418"/>
      <c r="C580" s="37" t="s">
        <v>1347</v>
      </c>
      <c r="D580" s="38"/>
      <c r="E580" s="38"/>
      <c r="F580" s="72"/>
      <c r="G580" s="34">
        <v>7367</v>
      </c>
      <c r="H580" s="37" t="s">
        <v>1095</v>
      </c>
      <c r="I580" s="42">
        <f t="shared" si="58"/>
        <v>79765</v>
      </c>
      <c r="J580" s="42">
        <v>94122.7</v>
      </c>
      <c r="K580" s="42"/>
      <c r="L580" s="42"/>
      <c r="M580" s="42">
        <f t="shared" si="59"/>
        <v>79765</v>
      </c>
      <c r="N580" s="42">
        <v>94122.7</v>
      </c>
      <c r="O580" s="42"/>
      <c r="P580" s="42">
        <f t="shared" si="57"/>
        <v>79765</v>
      </c>
      <c r="Q580" s="42">
        <v>94122.7</v>
      </c>
    </row>
    <row r="581" spans="1:17" s="4" customFormat="1" ht="36.75" customHeight="1" x14ac:dyDescent="0.25">
      <c r="A581" s="18"/>
      <c r="B581" s="418"/>
      <c r="C581" s="37" t="s">
        <v>1347</v>
      </c>
      <c r="D581" s="38"/>
      <c r="E581" s="38"/>
      <c r="F581" s="72"/>
      <c r="G581" s="34">
        <v>7390</v>
      </c>
      <c r="H581" s="37" t="s">
        <v>64</v>
      </c>
      <c r="I581" s="42">
        <f t="shared" si="58"/>
        <v>79765</v>
      </c>
      <c r="J581" s="42">
        <v>94122.7</v>
      </c>
      <c r="K581" s="42"/>
      <c r="L581" s="42"/>
      <c r="M581" s="42">
        <f t="shared" si="59"/>
        <v>79765</v>
      </c>
      <c r="N581" s="42">
        <v>94122.7</v>
      </c>
      <c r="O581" s="42"/>
      <c r="P581" s="42">
        <f t="shared" si="57"/>
        <v>79765</v>
      </c>
      <c r="Q581" s="42">
        <v>94122.7</v>
      </c>
    </row>
    <row r="582" spans="1:17" s="4" customFormat="1" ht="36.75" customHeight="1" x14ac:dyDescent="0.25">
      <c r="A582" s="18"/>
      <c r="B582" s="418"/>
      <c r="C582" s="37" t="s">
        <v>1348</v>
      </c>
      <c r="D582" s="38"/>
      <c r="E582" s="38"/>
      <c r="F582" s="72"/>
      <c r="G582" s="34">
        <v>7455</v>
      </c>
      <c r="H582" s="37" t="s">
        <v>1096</v>
      </c>
      <c r="I582" s="42">
        <f t="shared" si="58"/>
        <v>79807.372881355928</v>
      </c>
      <c r="J582" s="42">
        <v>94172.7</v>
      </c>
      <c r="K582" s="42"/>
      <c r="L582" s="42"/>
      <c r="M582" s="42">
        <f t="shared" si="59"/>
        <v>79807.372881355928</v>
      </c>
      <c r="N582" s="42">
        <v>94172.7</v>
      </c>
      <c r="O582" s="42"/>
      <c r="P582" s="42">
        <f t="shared" si="57"/>
        <v>79807.372881355928</v>
      </c>
      <c r="Q582" s="42">
        <v>94172.7</v>
      </c>
    </row>
    <row r="583" spans="1:17" s="4" customFormat="1" ht="36.75" customHeight="1" x14ac:dyDescent="0.25">
      <c r="A583" s="18"/>
      <c r="B583" s="418"/>
      <c r="C583" s="37" t="s">
        <v>1349</v>
      </c>
      <c r="D583" s="38"/>
      <c r="E583" s="38"/>
      <c r="F583" s="72"/>
      <c r="G583" s="34">
        <v>7542</v>
      </c>
      <c r="H583" s="37" t="s">
        <v>1097</v>
      </c>
      <c r="I583" s="42">
        <f t="shared" si="58"/>
        <v>79807.372881355928</v>
      </c>
      <c r="J583" s="42">
        <v>94172.7</v>
      </c>
      <c r="K583" s="42"/>
      <c r="L583" s="42"/>
      <c r="M583" s="42">
        <f t="shared" si="59"/>
        <v>79807.372881355928</v>
      </c>
      <c r="N583" s="42">
        <v>94172.7</v>
      </c>
      <c r="O583" s="42"/>
      <c r="P583" s="42">
        <f t="shared" si="57"/>
        <v>79807.372881355928</v>
      </c>
      <c r="Q583" s="42">
        <v>94172.7</v>
      </c>
    </row>
    <row r="584" spans="1:17" s="4" customFormat="1" ht="36.75" customHeight="1" x14ac:dyDescent="0.25">
      <c r="A584" s="18"/>
      <c r="B584" s="418"/>
      <c r="C584" s="37" t="s">
        <v>1350</v>
      </c>
      <c r="D584" s="38"/>
      <c r="E584" s="38"/>
      <c r="F584" s="72"/>
      <c r="G584" s="34">
        <v>7622</v>
      </c>
      <c r="H584" s="37" t="s">
        <v>1098</v>
      </c>
      <c r="I584" s="42">
        <f t="shared" si="58"/>
        <v>79764.830508474581</v>
      </c>
      <c r="J584" s="42">
        <v>94122.5</v>
      </c>
      <c r="K584" s="42"/>
      <c r="L584" s="42"/>
      <c r="M584" s="42">
        <f t="shared" si="59"/>
        <v>79764.830508474581</v>
      </c>
      <c r="N584" s="42">
        <v>94122.5</v>
      </c>
      <c r="O584" s="42"/>
      <c r="P584" s="42">
        <f t="shared" si="57"/>
        <v>79764.830508474581</v>
      </c>
      <c r="Q584" s="42">
        <v>94122.5</v>
      </c>
    </row>
    <row r="585" spans="1:17" s="4" customFormat="1" ht="36.75" customHeight="1" x14ac:dyDescent="0.25">
      <c r="A585" s="18"/>
      <c r="B585" s="418"/>
      <c r="C585" s="37" t="s">
        <v>1350</v>
      </c>
      <c r="D585" s="38"/>
      <c r="E585" s="38"/>
      <c r="F585" s="72"/>
      <c r="G585" s="34">
        <v>7687</v>
      </c>
      <c r="H585" s="37" t="s">
        <v>1099</v>
      </c>
      <c r="I585" s="42">
        <f>J585/1.18</f>
        <v>79764.830508474581</v>
      </c>
      <c r="J585" s="42">
        <v>94122.5</v>
      </c>
      <c r="K585" s="42"/>
      <c r="L585" s="42"/>
      <c r="M585" s="42">
        <f>N585/1.18</f>
        <v>79764.830508474581</v>
      </c>
      <c r="N585" s="42">
        <v>94122.5</v>
      </c>
      <c r="O585" s="42"/>
      <c r="P585" s="42">
        <f t="shared" si="57"/>
        <v>79764.830508474581</v>
      </c>
      <c r="Q585" s="42">
        <v>94122.5</v>
      </c>
    </row>
    <row r="586" spans="1:17" s="4" customFormat="1" ht="36.75" customHeight="1" x14ac:dyDescent="0.25">
      <c r="A586" s="18"/>
      <c r="B586" s="418"/>
      <c r="C586" s="37" t="s">
        <v>1351</v>
      </c>
      <c r="D586" s="38"/>
      <c r="E586" s="38"/>
      <c r="F586" s="72"/>
      <c r="G586" s="34">
        <v>7728</v>
      </c>
      <c r="H586" s="37" t="s">
        <v>1100</v>
      </c>
      <c r="I586" s="42">
        <f t="shared" si="58"/>
        <v>79765</v>
      </c>
      <c r="J586" s="42">
        <v>94122.7</v>
      </c>
      <c r="K586" s="42"/>
      <c r="L586" s="42"/>
      <c r="M586" s="42">
        <f t="shared" si="59"/>
        <v>79765</v>
      </c>
      <c r="N586" s="42">
        <v>94122.7</v>
      </c>
      <c r="O586" s="42"/>
      <c r="P586" s="42">
        <f t="shared" si="57"/>
        <v>79765</v>
      </c>
      <c r="Q586" s="42">
        <v>94122.7</v>
      </c>
    </row>
    <row r="587" spans="1:17" s="4" customFormat="1" ht="36.75" customHeight="1" x14ac:dyDescent="0.25">
      <c r="A587" s="18"/>
      <c r="B587" s="418"/>
      <c r="C587" s="37" t="s">
        <v>1352</v>
      </c>
      <c r="D587" s="38"/>
      <c r="E587" s="38"/>
      <c r="F587" s="72"/>
      <c r="G587" s="34">
        <v>7896</v>
      </c>
      <c r="H587" s="37" t="s">
        <v>1101</v>
      </c>
      <c r="I587" s="42">
        <f>J587/1.18</f>
        <v>79765</v>
      </c>
      <c r="J587" s="42">
        <v>94122.7</v>
      </c>
      <c r="K587" s="42"/>
      <c r="L587" s="42"/>
      <c r="M587" s="42">
        <f>N587/1.18</f>
        <v>79765</v>
      </c>
      <c r="N587" s="42">
        <v>94122.7</v>
      </c>
      <c r="O587" s="42"/>
      <c r="P587" s="42">
        <f t="shared" si="57"/>
        <v>79765</v>
      </c>
      <c r="Q587" s="42">
        <v>94122.7</v>
      </c>
    </row>
    <row r="588" spans="1:17" s="4" customFormat="1" ht="36.75" customHeight="1" x14ac:dyDescent="0.25">
      <c r="A588" s="18"/>
      <c r="B588" s="418"/>
      <c r="C588" s="37" t="s">
        <v>1353</v>
      </c>
      <c r="D588" s="38"/>
      <c r="E588" s="38"/>
      <c r="F588" s="72"/>
      <c r="G588" s="34">
        <v>7945</v>
      </c>
      <c r="H588" s="37" t="s">
        <v>1102</v>
      </c>
      <c r="I588" s="42">
        <f t="shared" si="58"/>
        <v>79765</v>
      </c>
      <c r="J588" s="42">
        <v>94122.7</v>
      </c>
      <c r="K588" s="42"/>
      <c r="L588" s="42"/>
      <c r="M588" s="42">
        <f t="shared" si="59"/>
        <v>79765</v>
      </c>
      <c r="N588" s="42">
        <v>94122.7</v>
      </c>
      <c r="O588" s="42"/>
      <c r="P588" s="42">
        <f t="shared" si="57"/>
        <v>79765</v>
      </c>
      <c r="Q588" s="42">
        <v>94122.7</v>
      </c>
    </row>
    <row r="589" spans="1:17" s="4" customFormat="1" ht="36.75" customHeight="1" x14ac:dyDescent="0.25">
      <c r="A589" s="18"/>
      <c r="B589" s="418"/>
      <c r="C589" s="37" t="s">
        <v>1353</v>
      </c>
      <c r="D589" s="38"/>
      <c r="E589" s="38"/>
      <c r="F589" s="72"/>
      <c r="G589" s="34">
        <v>7985</v>
      </c>
      <c r="H589" s="37" t="s">
        <v>1103</v>
      </c>
      <c r="I589" s="42">
        <f t="shared" si="58"/>
        <v>79765</v>
      </c>
      <c r="J589" s="42">
        <v>94122.7</v>
      </c>
      <c r="K589" s="42"/>
      <c r="L589" s="42"/>
      <c r="M589" s="42">
        <f t="shared" si="59"/>
        <v>79765</v>
      </c>
      <c r="N589" s="42">
        <v>94122.7</v>
      </c>
      <c r="O589" s="42"/>
      <c r="P589" s="42">
        <f t="shared" si="57"/>
        <v>79765</v>
      </c>
      <c r="Q589" s="42">
        <v>94122.7</v>
      </c>
    </row>
    <row r="590" spans="1:17" s="4" customFormat="1" ht="36.75" customHeight="1" x14ac:dyDescent="0.25">
      <c r="A590" s="18"/>
      <c r="B590" s="418"/>
      <c r="C590" s="37" t="s">
        <v>1354</v>
      </c>
      <c r="D590" s="38"/>
      <c r="E590" s="38"/>
      <c r="F590" s="72"/>
      <c r="G590" s="34">
        <v>8009</v>
      </c>
      <c r="H590" s="37" t="s">
        <v>1104</v>
      </c>
      <c r="I590" s="42">
        <f t="shared" si="58"/>
        <v>79764.830508474581</v>
      </c>
      <c r="J590" s="42">
        <v>94122.5</v>
      </c>
      <c r="K590" s="42"/>
      <c r="L590" s="42"/>
      <c r="M590" s="42">
        <f t="shared" si="59"/>
        <v>79764.830508474581</v>
      </c>
      <c r="N590" s="42">
        <v>94122.5</v>
      </c>
      <c r="O590" s="42"/>
      <c r="P590" s="42">
        <f t="shared" si="57"/>
        <v>79764.830508474581</v>
      </c>
      <c r="Q590" s="42">
        <v>94122.5</v>
      </c>
    </row>
    <row r="591" spans="1:17" s="4" customFormat="1" ht="36.75" customHeight="1" x14ac:dyDescent="0.25">
      <c r="A591" s="18"/>
      <c r="B591" s="418"/>
      <c r="C591" s="37" t="s">
        <v>1355</v>
      </c>
      <c r="D591" s="38"/>
      <c r="E591" s="38"/>
      <c r="F591" s="72"/>
      <c r="G591" s="34">
        <v>8119</v>
      </c>
      <c r="H591" s="37" t="s">
        <v>1105</v>
      </c>
      <c r="I591" s="42">
        <f t="shared" si="58"/>
        <v>79764.830508474581</v>
      </c>
      <c r="J591" s="42">
        <v>94122.5</v>
      </c>
      <c r="K591" s="42"/>
      <c r="L591" s="42"/>
      <c r="M591" s="42">
        <f t="shared" si="59"/>
        <v>79764.830508474581</v>
      </c>
      <c r="N591" s="42">
        <v>94122.5</v>
      </c>
      <c r="O591" s="42"/>
      <c r="P591" s="42">
        <f t="shared" si="57"/>
        <v>79764.830508474581</v>
      </c>
      <c r="Q591" s="42">
        <v>94122.5</v>
      </c>
    </row>
    <row r="592" spans="1:17" s="4" customFormat="1" ht="36.75" customHeight="1" x14ac:dyDescent="0.25">
      <c r="A592" s="18"/>
      <c r="B592" s="418"/>
      <c r="C592" s="37" t="s">
        <v>1356</v>
      </c>
      <c r="D592" s="38"/>
      <c r="E592" s="38"/>
      <c r="F592" s="72"/>
      <c r="G592" s="34">
        <v>8177</v>
      </c>
      <c r="H592" s="37" t="s">
        <v>1106</v>
      </c>
      <c r="I592" s="42">
        <f t="shared" si="58"/>
        <v>79764.830508474581</v>
      </c>
      <c r="J592" s="42">
        <v>94122.5</v>
      </c>
      <c r="K592" s="42"/>
      <c r="L592" s="42"/>
      <c r="M592" s="42">
        <f t="shared" si="59"/>
        <v>79764.830508474581</v>
      </c>
      <c r="N592" s="42">
        <v>94122.5</v>
      </c>
      <c r="O592" s="42"/>
      <c r="P592" s="42">
        <f t="shared" si="57"/>
        <v>79764.830508474581</v>
      </c>
      <c r="Q592" s="42">
        <v>94122.5</v>
      </c>
    </row>
    <row r="593" spans="1:17" s="4" customFormat="1" ht="36.75" customHeight="1" x14ac:dyDescent="0.25">
      <c r="A593" s="18"/>
      <c r="B593" s="418"/>
      <c r="C593" s="37" t="s">
        <v>1357</v>
      </c>
      <c r="D593" s="38"/>
      <c r="E593" s="38"/>
      <c r="F593" s="72"/>
      <c r="G593" s="34">
        <v>8358</v>
      </c>
      <c r="H593" s="37" t="s">
        <v>865</v>
      </c>
      <c r="I593" s="42">
        <f t="shared" si="58"/>
        <v>79765</v>
      </c>
      <c r="J593" s="42">
        <v>94122.7</v>
      </c>
      <c r="K593" s="42"/>
      <c r="L593" s="42"/>
      <c r="M593" s="42">
        <f t="shared" si="59"/>
        <v>79765</v>
      </c>
      <c r="N593" s="42">
        <v>94122.7</v>
      </c>
      <c r="O593" s="42"/>
      <c r="P593" s="42">
        <f t="shared" si="57"/>
        <v>79765</v>
      </c>
      <c r="Q593" s="42">
        <v>94122.7</v>
      </c>
    </row>
    <row r="594" spans="1:17" s="4" customFormat="1" ht="36.75" customHeight="1" x14ac:dyDescent="0.25">
      <c r="A594" s="18"/>
      <c r="B594" s="418"/>
      <c r="C594" s="37" t="s">
        <v>1357</v>
      </c>
      <c r="D594" s="38"/>
      <c r="E594" s="38"/>
      <c r="F594" s="72"/>
      <c r="G594" s="34">
        <v>8401</v>
      </c>
      <c r="H594" s="37" t="s">
        <v>1107</v>
      </c>
      <c r="I594" s="42">
        <f>J594/1.18</f>
        <v>79765</v>
      </c>
      <c r="J594" s="42">
        <v>94122.7</v>
      </c>
      <c r="K594" s="42"/>
      <c r="L594" s="42"/>
      <c r="M594" s="42">
        <f>N594/1.18</f>
        <v>79765</v>
      </c>
      <c r="N594" s="42">
        <v>94122.7</v>
      </c>
      <c r="O594" s="42"/>
      <c r="P594" s="42">
        <f t="shared" si="57"/>
        <v>79765</v>
      </c>
      <c r="Q594" s="42">
        <v>94122.7</v>
      </c>
    </row>
    <row r="595" spans="1:17" s="4" customFormat="1" ht="36.75" customHeight="1" x14ac:dyDescent="0.25">
      <c r="A595" s="18"/>
      <c r="B595" s="418"/>
      <c r="C595" s="37" t="s">
        <v>1358</v>
      </c>
      <c r="D595" s="38"/>
      <c r="E595" s="38"/>
      <c r="F595" s="72"/>
      <c r="G595" s="34">
        <v>8484</v>
      </c>
      <c r="H595" s="37" t="s">
        <v>1108</v>
      </c>
      <c r="I595" s="42">
        <f t="shared" si="58"/>
        <v>159530</v>
      </c>
      <c r="J595" s="42">
        <v>188245.4</v>
      </c>
      <c r="K595" s="42"/>
      <c r="L595" s="42"/>
      <c r="M595" s="42">
        <f t="shared" si="59"/>
        <v>159530</v>
      </c>
      <c r="N595" s="42">
        <v>188245.4</v>
      </c>
      <c r="O595" s="42"/>
      <c r="P595" s="42">
        <f t="shared" si="57"/>
        <v>159530</v>
      </c>
      <c r="Q595" s="42">
        <v>188245.4</v>
      </c>
    </row>
    <row r="596" spans="1:17" s="4" customFormat="1" ht="36.75" customHeight="1" x14ac:dyDescent="0.25">
      <c r="A596" s="18"/>
      <c r="B596" s="418"/>
      <c r="C596" s="37" t="s">
        <v>1359</v>
      </c>
      <c r="D596" s="38"/>
      <c r="E596" s="38"/>
      <c r="F596" s="72"/>
      <c r="G596" s="34">
        <v>8655</v>
      </c>
      <c r="H596" s="37" t="s">
        <v>1109</v>
      </c>
      <c r="I596" s="42">
        <f>J596/1.18</f>
        <v>79765</v>
      </c>
      <c r="J596" s="42">
        <v>94122.7</v>
      </c>
      <c r="K596" s="42"/>
      <c r="L596" s="42"/>
      <c r="M596" s="42">
        <f>N596/1.18</f>
        <v>79765</v>
      </c>
      <c r="N596" s="42">
        <v>94122.7</v>
      </c>
      <c r="O596" s="42"/>
      <c r="P596" s="42">
        <f t="shared" si="57"/>
        <v>79765</v>
      </c>
      <c r="Q596" s="42">
        <v>94122.7</v>
      </c>
    </row>
    <row r="597" spans="1:17" s="4" customFormat="1" ht="36.75" customHeight="1" x14ac:dyDescent="0.25">
      <c r="A597" s="18"/>
      <c r="B597" s="418"/>
      <c r="C597" s="37" t="s">
        <v>1360</v>
      </c>
      <c r="D597" s="38"/>
      <c r="E597" s="38"/>
      <c r="F597" s="72"/>
      <c r="G597" s="34">
        <v>8679</v>
      </c>
      <c r="H597" s="37" t="s">
        <v>1110</v>
      </c>
      <c r="I597" s="42">
        <f t="shared" si="58"/>
        <v>79765</v>
      </c>
      <c r="J597" s="42">
        <v>94122.7</v>
      </c>
      <c r="K597" s="42"/>
      <c r="L597" s="42"/>
      <c r="M597" s="42">
        <f t="shared" si="59"/>
        <v>79765</v>
      </c>
      <c r="N597" s="42">
        <v>94122.7</v>
      </c>
      <c r="O597" s="42"/>
      <c r="P597" s="42">
        <f t="shared" si="57"/>
        <v>79765</v>
      </c>
      <c r="Q597" s="42">
        <v>94122.7</v>
      </c>
    </row>
    <row r="598" spans="1:17" s="4" customFormat="1" ht="36.75" customHeight="1" x14ac:dyDescent="0.25">
      <c r="A598" s="18"/>
      <c r="B598" s="418"/>
      <c r="C598" s="37" t="s">
        <v>1361</v>
      </c>
      <c r="D598" s="38"/>
      <c r="E598" s="38"/>
      <c r="F598" s="72"/>
      <c r="G598" s="34">
        <v>8742</v>
      </c>
      <c r="H598" s="37" t="s">
        <v>1111</v>
      </c>
      <c r="I598" s="42">
        <f t="shared" si="58"/>
        <v>79765</v>
      </c>
      <c r="J598" s="42">
        <v>94122.7</v>
      </c>
      <c r="K598" s="42"/>
      <c r="L598" s="42"/>
      <c r="M598" s="42">
        <f t="shared" si="59"/>
        <v>79765</v>
      </c>
      <c r="N598" s="42">
        <v>94122.7</v>
      </c>
      <c r="O598" s="42"/>
      <c r="P598" s="42">
        <f t="shared" ref="P598:P661" si="60">M598</f>
        <v>79765</v>
      </c>
      <c r="Q598" s="42">
        <v>94122.7</v>
      </c>
    </row>
    <row r="599" spans="1:17" s="4" customFormat="1" ht="36.75" customHeight="1" x14ac:dyDescent="0.25">
      <c r="A599" s="18"/>
      <c r="B599" s="418"/>
      <c r="C599" s="37" t="s">
        <v>1361</v>
      </c>
      <c r="D599" s="38"/>
      <c r="E599" s="38"/>
      <c r="F599" s="72"/>
      <c r="G599" s="34">
        <v>8776</v>
      </c>
      <c r="H599" s="37" t="s">
        <v>1112</v>
      </c>
      <c r="I599" s="42">
        <f t="shared" si="58"/>
        <v>79765</v>
      </c>
      <c r="J599" s="42">
        <v>94122.7</v>
      </c>
      <c r="K599" s="42"/>
      <c r="L599" s="42"/>
      <c r="M599" s="42">
        <f t="shared" si="59"/>
        <v>79765</v>
      </c>
      <c r="N599" s="42">
        <v>94122.7</v>
      </c>
      <c r="O599" s="42"/>
      <c r="P599" s="42">
        <f t="shared" si="60"/>
        <v>79765</v>
      </c>
      <c r="Q599" s="42">
        <v>94122.7</v>
      </c>
    </row>
    <row r="600" spans="1:17" s="4" customFormat="1" ht="36.75" customHeight="1" x14ac:dyDescent="0.25">
      <c r="A600" s="18"/>
      <c r="B600" s="418"/>
      <c r="C600" s="37" t="s">
        <v>1362</v>
      </c>
      <c r="D600" s="38"/>
      <c r="E600" s="38"/>
      <c r="F600" s="72"/>
      <c r="G600" s="34">
        <v>8894</v>
      </c>
      <c r="H600" s="37" t="s">
        <v>1113</v>
      </c>
      <c r="I600" s="42">
        <f t="shared" si="58"/>
        <v>79765</v>
      </c>
      <c r="J600" s="42">
        <v>94122.7</v>
      </c>
      <c r="K600" s="42"/>
      <c r="L600" s="42"/>
      <c r="M600" s="42">
        <f t="shared" si="59"/>
        <v>79765</v>
      </c>
      <c r="N600" s="42">
        <v>94122.7</v>
      </c>
      <c r="O600" s="42"/>
      <c r="P600" s="42">
        <f t="shared" si="60"/>
        <v>79765</v>
      </c>
      <c r="Q600" s="42">
        <v>94122.7</v>
      </c>
    </row>
    <row r="601" spans="1:17" s="4" customFormat="1" ht="36.75" customHeight="1" x14ac:dyDescent="0.25">
      <c r="A601" s="18"/>
      <c r="B601" s="418"/>
      <c r="C601" s="37" t="s">
        <v>1363</v>
      </c>
      <c r="D601" s="38"/>
      <c r="E601" s="38"/>
      <c r="F601" s="72"/>
      <c r="G601" s="34">
        <v>9113</v>
      </c>
      <c r="H601" s="37" t="s">
        <v>1114</v>
      </c>
      <c r="I601" s="42">
        <f t="shared" si="58"/>
        <v>79255</v>
      </c>
      <c r="J601" s="42">
        <v>93520.9</v>
      </c>
      <c r="K601" s="42"/>
      <c r="L601" s="42"/>
      <c r="M601" s="42">
        <f t="shared" si="59"/>
        <v>79255</v>
      </c>
      <c r="N601" s="42">
        <v>93520.9</v>
      </c>
      <c r="O601" s="42"/>
      <c r="P601" s="42">
        <f t="shared" si="60"/>
        <v>79255</v>
      </c>
      <c r="Q601" s="42">
        <v>93520.9</v>
      </c>
    </row>
    <row r="602" spans="1:17" s="4" customFormat="1" ht="36.75" customHeight="1" x14ac:dyDescent="0.25">
      <c r="A602" s="18"/>
      <c r="B602" s="418"/>
      <c r="C602" s="37" t="s">
        <v>1362</v>
      </c>
      <c r="D602" s="38"/>
      <c r="E602" s="38"/>
      <c r="F602" s="72"/>
      <c r="G602" s="34">
        <v>9479</v>
      </c>
      <c r="H602" s="37" t="s">
        <v>1115</v>
      </c>
      <c r="I602" s="42">
        <f t="shared" si="58"/>
        <v>79765</v>
      </c>
      <c r="J602" s="42">
        <v>94122.7</v>
      </c>
      <c r="K602" s="42"/>
      <c r="L602" s="42"/>
      <c r="M602" s="42">
        <f t="shared" si="59"/>
        <v>79765</v>
      </c>
      <c r="N602" s="42">
        <v>94122.7</v>
      </c>
      <c r="O602" s="42"/>
      <c r="P602" s="42">
        <f t="shared" si="60"/>
        <v>79765</v>
      </c>
      <c r="Q602" s="42">
        <v>94122.7</v>
      </c>
    </row>
    <row r="603" spans="1:17" s="4" customFormat="1" ht="36.75" customHeight="1" x14ac:dyDescent="0.25">
      <c r="A603" s="18"/>
      <c r="B603" s="418"/>
      <c r="C603" s="37" t="s">
        <v>1364</v>
      </c>
      <c r="D603" s="38"/>
      <c r="E603" s="38"/>
      <c r="F603" s="72"/>
      <c r="G603" s="34">
        <v>9686</v>
      </c>
      <c r="H603" s="37" t="s">
        <v>1116</v>
      </c>
      <c r="I603" s="42">
        <f>J603/1.18</f>
        <v>79255</v>
      </c>
      <c r="J603" s="42">
        <v>93520.9</v>
      </c>
      <c r="K603" s="42"/>
      <c r="L603" s="42"/>
      <c r="M603" s="42">
        <f>N603/1.18</f>
        <v>79255</v>
      </c>
      <c r="N603" s="42">
        <v>93520.9</v>
      </c>
      <c r="O603" s="42"/>
      <c r="P603" s="42">
        <f t="shared" si="60"/>
        <v>79255</v>
      </c>
      <c r="Q603" s="42">
        <v>93520.9</v>
      </c>
    </row>
    <row r="604" spans="1:17" s="4" customFormat="1" ht="36.75" customHeight="1" x14ac:dyDescent="0.25">
      <c r="A604" s="18"/>
      <c r="B604" s="418"/>
      <c r="C604" s="37" t="s">
        <v>1365</v>
      </c>
      <c r="D604" s="38"/>
      <c r="E604" s="38"/>
      <c r="F604" s="72"/>
      <c r="G604" s="34">
        <v>10025</v>
      </c>
      <c r="H604" s="37" t="s">
        <v>1117</v>
      </c>
      <c r="I604" s="42">
        <f t="shared" si="58"/>
        <v>79765</v>
      </c>
      <c r="J604" s="42">
        <v>94122.7</v>
      </c>
      <c r="K604" s="42"/>
      <c r="L604" s="42"/>
      <c r="M604" s="42">
        <f t="shared" si="59"/>
        <v>79765</v>
      </c>
      <c r="N604" s="42">
        <v>94122.7</v>
      </c>
      <c r="O604" s="42"/>
      <c r="P604" s="42">
        <f t="shared" si="60"/>
        <v>79765</v>
      </c>
      <c r="Q604" s="42">
        <v>94122.7</v>
      </c>
    </row>
    <row r="605" spans="1:17" s="4" customFormat="1" ht="36.75" customHeight="1" x14ac:dyDescent="0.25">
      <c r="A605" s="18"/>
      <c r="B605" s="418"/>
      <c r="C605" s="37" t="s">
        <v>1365</v>
      </c>
      <c r="D605" s="38"/>
      <c r="E605" s="38"/>
      <c r="F605" s="72"/>
      <c r="G605" s="34">
        <v>1437</v>
      </c>
      <c r="H605" s="37" t="s">
        <v>1118</v>
      </c>
      <c r="I605" s="42">
        <f>J605/1.18</f>
        <v>79764.576271186437</v>
      </c>
      <c r="J605" s="42">
        <v>94122.2</v>
      </c>
      <c r="K605" s="42"/>
      <c r="L605" s="42"/>
      <c r="M605" s="42">
        <f>N605/1.18</f>
        <v>79764.576271186437</v>
      </c>
      <c r="N605" s="42">
        <v>94122.2</v>
      </c>
      <c r="O605" s="42"/>
      <c r="P605" s="42">
        <f t="shared" si="60"/>
        <v>79764.576271186437</v>
      </c>
      <c r="Q605" s="42">
        <v>94122.2</v>
      </c>
    </row>
    <row r="606" spans="1:17" s="4" customFormat="1" ht="36.75" customHeight="1" x14ac:dyDescent="0.25">
      <c r="A606" s="18"/>
      <c r="B606" s="418"/>
      <c r="C606" s="37" t="s">
        <v>1366</v>
      </c>
      <c r="D606" s="38"/>
      <c r="E606" s="38"/>
      <c r="F606" s="72"/>
      <c r="G606" s="34">
        <v>15977</v>
      </c>
      <c r="H606" s="37" t="s">
        <v>1119</v>
      </c>
      <c r="I606" s="42">
        <f t="shared" si="58"/>
        <v>159530</v>
      </c>
      <c r="J606" s="42">
        <v>188245.4</v>
      </c>
      <c r="K606" s="42"/>
      <c r="L606" s="42"/>
      <c r="M606" s="42">
        <f t="shared" si="59"/>
        <v>159530</v>
      </c>
      <c r="N606" s="42">
        <v>188245.4</v>
      </c>
      <c r="O606" s="42"/>
      <c r="P606" s="42">
        <f t="shared" si="60"/>
        <v>159530</v>
      </c>
      <c r="Q606" s="42">
        <v>188245.4</v>
      </c>
    </row>
    <row r="607" spans="1:17" s="4" customFormat="1" ht="36.75" customHeight="1" x14ac:dyDescent="0.25">
      <c r="A607" s="18"/>
      <c r="B607" s="418"/>
      <c r="C607" s="37" t="s">
        <v>1367</v>
      </c>
      <c r="D607" s="38"/>
      <c r="E607" s="38"/>
      <c r="F607" s="72"/>
      <c r="G607" s="34">
        <v>756</v>
      </c>
      <c r="H607" s="37" t="s">
        <v>1120</v>
      </c>
      <c r="I607" s="42">
        <f t="shared" si="58"/>
        <v>151704.38135593222</v>
      </c>
      <c r="J607" s="42">
        <v>179011.17</v>
      </c>
      <c r="K607" s="42"/>
      <c r="L607" s="42"/>
      <c r="M607" s="42">
        <f t="shared" si="59"/>
        <v>151704.38135593222</v>
      </c>
      <c r="N607" s="42">
        <v>179011.17</v>
      </c>
      <c r="O607" s="42"/>
      <c r="P607" s="42">
        <f t="shared" si="60"/>
        <v>151704.38135593222</v>
      </c>
      <c r="Q607" s="42">
        <v>179011.17</v>
      </c>
    </row>
    <row r="608" spans="1:17" s="4" customFormat="1" ht="36.75" customHeight="1" x14ac:dyDescent="0.25">
      <c r="A608" s="18"/>
      <c r="B608" s="418"/>
      <c r="C608" s="37" t="s">
        <v>1368</v>
      </c>
      <c r="D608" s="38"/>
      <c r="E608" s="38"/>
      <c r="F608" s="72"/>
      <c r="G608" s="34">
        <v>949</v>
      </c>
      <c r="H608" s="37" t="s">
        <v>1121</v>
      </c>
      <c r="I608" s="42">
        <f t="shared" si="58"/>
        <v>79765</v>
      </c>
      <c r="J608" s="42">
        <v>94122.7</v>
      </c>
      <c r="K608" s="42"/>
      <c r="L608" s="42"/>
      <c r="M608" s="42">
        <f t="shared" si="59"/>
        <v>79765</v>
      </c>
      <c r="N608" s="42">
        <v>94122.7</v>
      </c>
      <c r="O608" s="42"/>
      <c r="P608" s="42">
        <f t="shared" si="60"/>
        <v>79765</v>
      </c>
      <c r="Q608" s="42">
        <v>94122.7</v>
      </c>
    </row>
    <row r="609" spans="1:17" s="4" customFormat="1" ht="36.75" customHeight="1" x14ac:dyDescent="0.25">
      <c r="A609" s="18"/>
      <c r="B609" s="418"/>
      <c r="C609" s="37" t="s">
        <v>1369</v>
      </c>
      <c r="D609" s="38"/>
      <c r="E609" s="38"/>
      <c r="F609" s="72"/>
      <c r="G609" s="34">
        <v>1672</v>
      </c>
      <c r="H609" s="37" t="s">
        <v>633</v>
      </c>
      <c r="I609" s="42">
        <f t="shared" si="58"/>
        <v>79450</v>
      </c>
      <c r="J609" s="42">
        <v>93751</v>
      </c>
      <c r="K609" s="42"/>
      <c r="L609" s="42"/>
      <c r="M609" s="42">
        <f t="shared" si="59"/>
        <v>79450</v>
      </c>
      <c r="N609" s="42">
        <v>93751</v>
      </c>
      <c r="O609" s="42"/>
      <c r="P609" s="42">
        <f t="shared" si="60"/>
        <v>79450</v>
      </c>
      <c r="Q609" s="42">
        <v>93751</v>
      </c>
    </row>
    <row r="610" spans="1:17" s="4" customFormat="1" ht="36.75" customHeight="1" x14ac:dyDescent="0.25">
      <c r="A610" s="18"/>
      <c r="B610" s="418"/>
      <c r="C610" s="37" t="s">
        <v>1370</v>
      </c>
      <c r="D610" s="38"/>
      <c r="E610" s="38"/>
      <c r="F610" s="72"/>
      <c r="G610" s="34">
        <v>1770</v>
      </c>
      <c r="H610" s="37" t="s">
        <v>1122</v>
      </c>
      <c r="I610" s="42">
        <f t="shared" si="58"/>
        <v>79450</v>
      </c>
      <c r="J610" s="42">
        <v>93751</v>
      </c>
      <c r="K610" s="42"/>
      <c r="L610" s="42"/>
      <c r="M610" s="42">
        <f t="shared" si="59"/>
        <v>79450</v>
      </c>
      <c r="N610" s="42">
        <v>93751</v>
      </c>
      <c r="O610" s="42"/>
      <c r="P610" s="42">
        <f t="shared" si="60"/>
        <v>79450</v>
      </c>
      <c r="Q610" s="42">
        <v>93751</v>
      </c>
    </row>
    <row r="611" spans="1:17" s="4" customFormat="1" ht="36.75" customHeight="1" x14ac:dyDescent="0.25">
      <c r="A611" s="18"/>
      <c r="B611" s="418"/>
      <c r="C611" s="37" t="s">
        <v>1370</v>
      </c>
      <c r="D611" s="38"/>
      <c r="E611" s="38"/>
      <c r="F611" s="72"/>
      <c r="G611" s="34">
        <v>1842</v>
      </c>
      <c r="H611" s="37" t="s">
        <v>1123</v>
      </c>
      <c r="I611" s="42">
        <f>J611/1.18</f>
        <v>79450</v>
      </c>
      <c r="J611" s="42">
        <v>93751</v>
      </c>
      <c r="K611" s="42"/>
      <c r="L611" s="42"/>
      <c r="M611" s="42">
        <f>N611/1.18</f>
        <v>79450</v>
      </c>
      <c r="N611" s="42">
        <v>93751</v>
      </c>
      <c r="O611" s="42"/>
      <c r="P611" s="42">
        <f t="shared" si="60"/>
        <v>79450</v>
      </c>
      <c r="Q611" s="42">
        <v>93751</v>
      </c>
    </row>
    <row r="612" spans="1:17" s="4" customFormat="1" ht="36.75" customHeight="1" x14ac:dyDescent="0.25">
      <c r="A612" s="18"/>
      <c r="B612" s="418"/>
      <c r="C612" s="37" t="s">
        <v>1370</v>
      </c>
      <c r="D612" s="38"/>
      <c r="E612" s="38"/>
      <c r="F612" s="72"/>
      <c r="G612" s="34">
        <v>1944</v>
      </c>
      <c r="H612" s="37" t="s">
        <v>1124</v>
      </c>
      <c r="I612" s="42">
        <f t="shared" si="58"/>
        <v>158900</v>
      </c>
      <c r="J612" s="42">
        <v>187502</v>
      </c>
      <c r="K612" s="42"/>
      <c r="L612" s="42"/>
      <c r="M612" s="42">
        <f t="shared" si="59"/>
        <v>158900</v>
      </c>
      <c r="N612" s="42">
        <v>187502</v>
      </c>
      <c r="O612" s="42"/>
      <c r="P612" s="42">
        <f t="shared" si="60"/>
        <v>158900</v>
      </c>
      <c r="Q612" s="42">
        <v>187502</v>
      </c>
    </row>
    <row r="613" spans="1:17" s="4" customFormat="1" ht="36.75" customHeight="1" x14ac:dyDescent="0.25">
      <c r="A613" s="18"/>
      <c r="B613" s="418"/>
      <c r="C613" s="37" t="s">
        <v>1371</v>
      </c>
      <c r="D613" s="38"/>
      <c r="E613" s="38"/>
      <c r="F613" s="72"/>
      <c r="G613" s="34">
        <v>2562</v>
      </c>
      <c r="H613" s="37" t="s">
        <v>1125</v>
      </c>
      <c r="I613" s="42">
        <f t="shared" si="58"/>
        <v>127118.64406779662</v>
      </c>
      <c r="J613" s="42">
        <v>150000</v>
      </c>
      <c r="K613" s="42"/>
      <c r="L613" s="42"/>
      <c r="M613" s="42">
        <f t="shared" si="59"/>
        <v>127118.64406779662</v>
      </c>
      <c r="N613" s="42">
        <v>150000</v>
      </c>
      <c r="O613" s="42"/>
      <c r="P613" s="42">
        <f t="shared" si="60"/>
        <v>127118.64406779662</v>
      </c>
      <c r="Q613" s="42">
        <v>150000</v>
      </c>
    </row>
    <row r="614" spans="1:17" s="4" customFormat="1" ht="36.75" customHeight="1" x14ac:dyDescent="0.25">
      <c r="A614" s="18"/>
      <c r="B614" s="418"/>
      <c r="C614" s="37" t="s">
        <v>1372</v>
      </c>
      <c r="D614" s="38"/>
      <c r="E614" s="38"/>
      <c r="F614" s="72"/>
      <c r="G614" s="34">
        <v>2694</v>
      </c>
      <c r="H614" s="37" t="s">
        <v>1126</v>
      </c>
      <c r="I614" s="42">
        <f t="shared" si="58"/>
        <v>476694.9152542373</v>
      </c>
      <c r="J614" s="42">
        <v>562500</v>
      </c>
      <c r="K614" s="42"/>
      <c r="L614" s="42"/>
      <c r="M614" s="42">
        <f t="shared" si="59"/>
        <v>476694.9152542373</v>
      </c>
      <c r="N614" s="42">
        <v>562500</v>
      </c>
      <c r="O614" s="42"/>
      <c r="P614" s="42">
        <f t="shared" si="60"/>
        <v>476694.9152542373</v>
      </c>
      <c r="Q614" s="42">
        <v>562500</v>
      </c>
    </row>
    <row r="615" spans="1:17" s="4" customFormat="1" ht="36.75" customHeight="1" x14ac:dyDescent="0.25">
      <c r="A615" s="18"/>
      <c r="B615" s="418"/>
      <c r="C615" s="37" t="s">
        <v>1373</v>
      </c>
      <c r="D615" s="38"/>
      <c r="E615" s="38"/>
      <c r="F615" s="72"/>
      <c r="G615" s="34">
        <v>2786</v>
      </c>
      <c r="H615" s="37" t="s">
        <v>1127</v>
      </c>
      <c r="I615" s="42">
        <f t="shared" si="58"/>
        <v>79450</v>
      </c>
      <c r="J615" s="42">
        <v>93751</v>
      </c>
      <c r="K615" s="42"/>
      <c r="L615" s="42"/>
      <c r="M615" s="42">
        <f t="shared" si="59"/>
        <v>79450</v>
      </c>
      <c r="N615" s="42">
        <v>93751</v>
      </c>
      <c r="O615" s="42"/>
      <c r="P615" s="42">
        <f t="shared" si="60"/>
        <v>79450</v>
      </c>
      <c r="Q615" s="42">
        <v>93751</v>
      </c>
    </row>
    <row r="616" spans="1:17" s="4" customFormat="1" ht="36.75" customHeight="1" x14ac:dyDescent="0.25">
      <c r="A616" s="18"/>
      <c r="B616" s="418"/>
      <c r="C616" s="37" t="s">
        <v>1374</v>
      </c>
      <c r="D616" s="38"/>
      <c r="E616" s="38"/>
      <c r="F616" s="72"/>
      <c r="G616" s="34">
        <v>2829</v>
      </c>
      <c r="H616" s="37" t="s">
        <v>1128</v>
      </c>
      <c r="I616" s="42">
        <f t="shared" si="58"/>
        <v>79449.152542372889</v>
      </c>
      <c r="J616" s="42">
        <v>93750</v>
      </c>
      <c r="K616" s="42"/>
      <c r="L616" s="42"/>
      <c r="M616" s="42">
        <f t="shared" si="59"/>
        <v>79449.152542372889</v>
      </c>
      <c r="N616" s="42">
        <v>93750</v>
      </c>
      <c r="O616" s="42"/>
      <c r="P616" s="42">
        <f t="shared" si="60"/>
        <v>79449.152542372889</v>
      </c>
      <c r="Q616" s="42">
        <v>93750</v>
      </c>
    </row>
    <row r="617" spans="1:17" s="4" customFormat="1" ht="36.75" customHeight="1" x14ac:dyDescent="0.25">
      <c r="A617" s="18"/>
      <c r="B617" s="418"/>
      <c r="C617" s="37" t="s">
        <v>1374</v>
      </c>
      <c r="D617" s="38"/>
      <c r="E617" s="38"/>
      <c r="F617" s="72"/>
      <c r="G617" s="34">
        <v>2922</v>
      </c>
      <c r="H617" s="37" t="s">
        <v>1129</v>
      </c>
      <c r="I617" s="42">
        <f t="shared" si="58"/>
        <v>79449.152542372889</v>
      </c>
      <c r="J617" s="42">
        <v>93750</v>
      </c>
      <c r="K617" s="42"/>
      <c r="L617" s="42"/>
      <c r="M617" s="42">
        <f t="shared" si="59"/>
        <v>79449.152542372889</v>
      </c>
      <c r="N617" s="42">
        <v>93750</v>
      </c>
      <c r="O617" s="42"/>
      <c r="P617" s="42">
        <f t="shared" si="60"/>
        <v>79449.152542372889</v>
      </c>
      <c r="Q617" s="42">
        <v>93750</v>
      </c>
    </row>
    <row r="618" spans="1:17" s="4" customFormat="1" ht="36.75" customHeight="1" x14ac:dyDescent="0.25">
      <c r="A618" s="18"/>
      <c r="B618" s="418"/>
      <c r="C618" s="37" t="s">
        <v>1370</v>
      </c>
      <c r="D618" s="38"/>
      <c r="E618" s="38"/>
      <c r="F618" s="72"/>
      <c r="G618" s="34">
        <v>2962</v>
      </c>
      <c r="H618" s="37" t="s">
        <v>1130</v>
      </c>
      <c r="I618" s="42">
        <f>J618/1.18</f>
        <v>79450</v>
      </c>
      <c r="J618" s="42">
        <v>93751</v>
      </c>
      <c r="K618" s="42"/>
      <c r="L618" s="42"/>
      <c r="M618" s="42">
        <f>N618/1.18</f>
        <v>79450</v>
      </c>
      <c r="N618" s="42">
        <v>93751</v>
      </c>
      <c r="O618" s="42"/>
      <c r="P618" s="42">
        <f t="shared" si="60"/>
        <v>79450</v>
      </c>
      <c r="Q618" s="42">
        <v>93751</v>
      </c>
    </row>
    <row r="619" spans="1:17" s="4" customFormat="1" ht="36.75" customHeight="1" x14ac:dyDescent="0.25">
      <c r="A619" s="18"/>
      <c r="B619" s="418"/>
      <c r="C619" s="37" t="s">
        <v>1370</v>
      </c>
      <c r="D619" s="38"/>
      <c r="E619" s="38"/>
      <c r="F619" s="72"/>
      <c r="G619" s="34">
        <v>3010</v>
      </c>
      <c r="H619" s="37" t="s">
        <v>1131</v>
      </c>
      <c r="I619" s="42">
        <f t="shared" ref="I619" si="61">J619/1.18</f>
        <v>79449.152542372889</v>
      </c>
      <c r="J619" s="42">
        <v>93750</v>
      </c>
      <c r="K619" s="42"/>
      <c r="L619" s="42"/>
      <c r="M619" s="42">
        <f t="shared" ref="M619" si="62">N619/1.18</f>
        <v>79449.152542372889</v>
      </c>
      <c r="N619" s="42">
        <v>93750</v>
      </c>
      <c r="O619" s="42"/>
      <c r="P619" s="42">
        <f t="shared" si="60"/>
        <v>79449.152542372889</v>
      </c>
      <c r="Q619" s="42">
        <v>93750</v>
      </c>
    </row>
    <row r="620" spans="1:17" s="4" customFormat="1" ht="36.75" customHeight="1" x14ac:dyDescent="0.25">
      <c r="A620" s="18"/>
      <c r="B620" s="418"/>
      <c r="C620" s="37" t="s">
        <v>1370</v>
      </c>
      <c r="D620" s="38"/>
      <c r="E620" s="38"/>
      <c r="F620" s="72"/>
      <c r="G620" s="34">
        <v>3605</v>
      </c>
      <c r="H620" s="37" t="s">
        <v>1132</v>
      </c>
      <c r="I620" s="42">
        <f>J620/1.18</f>
        <v>79449.152542372889</v>
      </c>
      <c r="J620" s="42">
        <v>93750</v>
      </c>
      <c r="K620" s="42"/>
      <c r="L620" s="42"/>
      <c r="M620" s="42">
        <f>N620/1.18</f>
        <v>79449.152542372889</v>
      </c>
      <c r="N620" s="42">
        <v>93750</v>
      </c>
      <c r="O620" s="42"/>
      <c r="P620" s="42">
        <f t="shared" si="60"/>
        <v>79449.152542372889</v>
      </c>
      <c r="Q620" s="42">
        <v>93750</v>
      </c>
    </row>
    <row r="621" spans="1:17" s="4" customFormat="1" ht="36.75" customHeight="1" x14ac:dyDescent="0.25">
      <c r="A621" s="18"/>
      <c r="B621" s="418"/>
      <c r="C621" s="37" t="s">
        <v>1375</v>
      </c>
      <c r="D621" s="38"/>
      <c r="E621" s="38"/>
      <c r="F621" s="72"/>
      <c r="G621" s="34">
        <v>3901</v>
      </c>
      <c r="H621" s="37" t="s">
        <v>1133</v>
      </c>
      <c r="I621" s="42">
        <f t="shared" ref="I621:I643" si="63">J621/1.18</f>
        <v>79449.152542372889</v>
      </c>
      <c r="J621" s="42">
        <v>93750</v>
      </c>
      <c r="K621" s="42"/>
      <c r="L621" s="42"/>
      <c r="M621" s="42">
        <f t="shared" ref="M621:M643" si="64">N621/1.18</f>
        <v>79449.152542372889</v>
      </c>
      <c r="N621" s="42">
        <v>93750</v>
      </c>
      <c r="O621" s="42"/>
      <c r="P621" s="42">
        <f t="shared" si="60"/>
        <v>79449.152542372889</v>
      </c>
      <c r="Q621" s="42">
        <v>93750</v>
      </c>
    </row>
    <row r="622" spans="1:17" s="4" customFormat="1" ht="36.75" customHeight="1" x14ac:dyDescent="0.25">
      <c r="A622" s="18"/>
      <c r="B622" s="418"/>
      <c r="C622" s="37" t="s">
        <v>1370</v>
      </c>
      <c r="D622" s="38"/>
      <c r="E622" s="38"/>
      <c r="F622" s="72"/>
      <c r="G622" s="34">
        <v>4060</v>
      </c>
      <c r="H622" s="37" t="s">
        <v>1134</v>
      </c>
      <c r="I622" s="42">
        <f t="shared" si="63"/>
        <v>98930.084745762724</v>
      </c>
      <c r="J622" s="42">
        <v>116737.5</v>
      </c>
      <c r="K622" s="42"/>
      <c r="L622" s="42"/>
      <c r="M622" s="42">
        <f t="shared" si="64"/>
        <v>98930.084745762724</v>
      </c>
      <c r="N622" s="42">
        <v>116737.5</v>
      </c>
      <c r="O622" s="42"/>
      <c r="P622" s="42">
        <f t="shared" si="60"/>
        <v>98930.084745762724</v>
      </c>
      <c r="Q622" s="42">
        <v>116737.5</v>
      </c>
    </row>
    <row r="623" spans="1:17" s="4" customFormat="1" ht="36.75" customHeight="1" x14ac:dyDescent="0.25">
      <c r="A623" s="18"/>
      <c r="B623" s="418"/>
      <c r="C623" s="37" t="s">
        <v>1370</v>
      </c>
      <c r="D623" s="38"/>
      <c r="E623" s="38"/>
      <c r="F623" s="72"/>
      <c r="G623" s="34">
        <v>4260</v>
      </c>
      <c r="H623" s="37" t="s">
        <v>1135</v>
      </c>
      <c r="I623" s="42">
        <f t="shared" si="63"/>
        <v>79449.152542372889</v>
      </c>
      <c r="J623" s="42">
        <v>93750</v>
      </c>
      <c r="K623" s="42"/>
      <c r="L623" s="42"/>
      <c r="M623" s="42">
        <f t="shared" si="64"/>
        <v>79449.152542372889</v>
      </c>
      <c r="N623" s="42">
        <v>93750</v>
      </c>
      <c r="O623" s="42"/>
      <c r="P623" s="42">
        <f t="shared" si="60"/>
        <v>79449.152542372889</v>
      </c>
      <c r="Q623" s="42">
        <v>93750</v>
      </c>
    </row>
    <row r="624" spans="1:17" s="4" customFormat="1" ht="36.75" customHeight="1" x14ac:dyDescent="0.25">
      <c r="A624" s="18"/>
      <c r="B624" s="403"/>
      <c r="C624" s="37" t="s">
        <v>1376</v>
      </c>
      <c r="D624" s="38"/>
      <c r="E624" s="38"/>
      <c r="F624" s="72"/>
      <c r="G624" s="34">
        <v>4608</v>
      </c>
      <c r="H624" s="37" t="s">
        <v>1136</v>
      </c>
      <c r="I624" s="42">
        <f t="shared" si="63"/>
        <v>79449.152542372889</v>
      </c>
      <c r="J624" s="42">
        <v>93750</v>
      </c>
      <c r="K624" s="42"/>
      <c r="L624" s="42"/>
      <c r="M624" s="42">
        <f t="shared" si="64"/>
        <v>79449.152542372889</v>
      </c>
      <c r="N624" s="42">
        <v>93750</v>
      </c>
      <c r="O624" s="42"/>
      <c r="P624" s="42">
        <f t="shared" si="60"/>
        <v>79449.152542372889</v>
      </c>
      <c r="Q624" s="42">
        <v>93750</v>
      </c>
    </row>
    <row r="625" spans="1:17" s="4" customFormat="1" ht="36.75" customHeight="1" x14ac:dyDescent="0.25">
      <c r="A625" s="18"/>
      <c r="B625" s="11" t="s">
        <v>962</v>
      </c>
      <c r="C625" s="37" t="s">
        <v>1377</v>
      </c>
      <c r="D625" s="38"/>
      <c r="E625" s="38"/>
      <c r="F625" s="72"/>
      <c r="G625" s="34">
        <v>3067</v>
      </c>
      <c r="H625" s="37" t="s">
        <v>1137</v>
      </c>
      <c r="I625" s="42">
        <f t="shared" si="63"/>
        <v>30762.711864406781</v>
      </c>
      <c r="J625" s="42">
        <v>36300</v>
      </c>
      <c r="K625" s="42"/>
      <c r="L625" s="42"/>
      <c r="M625" s="42">
        <f t="shared" si="64"/>
        <v>30762.711864406781</v>
      </c>
      <c r="N625" s="42">
        <v>36300</v>
      </c>
      <c r="O625" s="42"/>
      <c r="P625" s="42">
        <f t="shared" si="60"/>
        <v>30762.711864406781</v>
      </c>
      <c r="Q625" s="42">
        <v>36300</v>
      </c>
    </row>
    <row r="626" spans="1:17" s="4" customFormat="1" ht="36.75" customHeight="1" x14ac:dyDescent="0.25">
      <c r="A626" s="18"/>
      <c r="B626" s="11" t="s">
        <v>962</v>
      </c>
      <c r="C626" s="37" t="s">
        <v>1378</v>
      </c>
      <c r="D626" s="38"/>
      <c r="E626" s="38"/>
      <c r="F626" s="72"/>
      <c r="G626" s="34">
        <v>3678</v>
      </c>
      <c r="H626" s="37" t="s">
        <v>1138</v>
      </c>
      <c r="I626" s="42">
        <f t="shared" si="63"/>
        <v>27966.101694915254</v>
      </c>
      <c r="J626" s="42">
        <v>33000</v>
      </c>
      <c r="K626" s="42"/>
      <c r="L626" s="42"/>
      <c r="M626" s="42">
        <f t="shared" si="64"/>
        <v>27966.101694915254</v>
      </c>
      <c r="N626" s="42">
        <v>33000</v>
      </c>
      <c r="O626" s="42"/>
      <c r="P626" s="42">
        <f t="shared" si="60"/>
        <v>27966.101694915254</v>
      </c>
      <c r="Q626" s="42">
        <v>33000</v>
      </c>
    </row>
    <row r="627" spans="1:17" s="4" customFormat="1" ht="36.75" customHeight="1" x14ac:dyDescent="0.25">
      <c r="A627" s="18"/>
      <c r="B627" s="11" t="s">
        <v>962</v>
      </c>
      <c r="C627" s="37" t="s">
        <v>1379</v>
      </c>
      <c r="D627" s="38"/>
      <c r="E627" s="38"/>
      <c r="F627" s="72"/>
      <c r="G627" s="34">
        <v>4375</v>
      </c>
      <c r="H627" s="37" t="s">
        <v>1139</v>
      </c>
      <c r="I627" s="42">
        <f t="shared" si="63"/>
        <v>27966.101694915254</v>
      </c>
      <c r="J627" s="42">
        <v>33000</v>
      </c>
      <c r="K627" s="42"/>
      <c r="L627" s="42"/>
      <c r="M627" s="42">
        <f t="shared" si="64"/>
        <v>27966.101694915254</v>
      </c>
      <c r="N627" s="42">
        <v>33000</v>
      </c>
      <c r="O627" s="42"/>
      <c r="P627" s="42">
        <f t="shared" si="60"/>
        <v>27966.101694915254</v>
      </c>
      <c r="Q627" s="42">
        <v>33000</v>
      </c>
    </row>
    <row r="628" spans="1:17" s="4" customFormat="1" ht="36.75" customHeight="1" x14ac:dyDescent="0.25">
      <c r="A628" s="18"/>
      <c r="B628" s="11" t="s">
        <v>962</v>
      </c>
      <c r="C628" s="37" t="s">
        <v>1380</v>
      </c>
      <c r="D628" s="38"/>
      <c r="E628" s="38"/>
      <c r="F628" s="72"/>
      <c r="G628" s="34">
        <v>4981</v>
      </c>
      <c r="H628" s="37" t="s">
        <v>1081</v>
      </c>
      <c r="I628" s="42">
        <f t="shared" si="63"/>
        <v>27966.101694915254</v>
      </c>
      <c r="J628" s="42">
        <v>33000</v>
      </c>
      <c r="K628" s="42"/>
      <c r="L628" s="42"/>
      <c r="M628" s="42">
        <f t="shared" si="64"/>
        <v>27966.101694915254</v>
      </c>
      <c r="N628" s="42">
        <v>33000</v>
      </c>
      <c r="O628" s="42"/>
      <c r="P628" s="42">
        <f t="shared" si="60"/>
        <v>27966.101694915254</v>
      </c>
      <c r="Q628" s="42">
        <v>33000</v>
      </c>
    </row>
    <row r="629" spans="1:17" s="4" customFormat="1" ht="36.75" customHeight="1" x14ac:dyDescent="0.25">
      <c r="A629" s="18"/>
      <c r="B629" s="11" t="s">
        <v>962</v>
      </c>
      <c r="C629" s="37" t="s">
        <v>1381</v>
      </c>
      <c r="D629" s="38"/>
      <c r="E629" s="38"/>
      <c r="F629" s="72"/>
      <c r="G629" s="34">
        <v>5303</v>
      </c>
      <c r="H629" s="37" t="s">
        <v>1083</v>
      </c>
      <c r="I629" s="42">
        <f t="shared" si="63"/>
        <v>27966.101694915254</v>
      </c>
      <c r="J629" s="42">
        <v>33000</v>
      </c>
      <c r="K629" s="42"/>
      <c r="L629" s="42"/>
      <c r="M629" s="42">
        <f t="shared" si="64"/>
        <v>27966.101694915254</v>
      </c>
      <c r="N629" s="42">
        <v>33000</v>
      </c>
      <c r="O629" s="42"/>
      <c r="P629" s="42">
        <f t="shared" si="60"/>
        <v>27966.101694915254</v>
      </c>
      <c r="Q629" s="42">
        <v>33000</v>
      </c>
    </row>
    <row r="630" spans="1:17" s="4" customFormat="1" ht="36.75" customHeight="1" x14ac:dyDescent="0.25">
      <c r="A630" s="18"/>
      <c r="B630" s="11" t="s">
        <v>962</v>
      </c>
      <c r="C630" s="37" t="s">
        <v>1382</v>
      </c>
      <c r="D630" s="38"/>
      <c r="E630" s="38"/>
      <c r="F630" s="72"/>
      <c r="G630" s="34">
        <v>5638</v>
      </c>
      <c r="H630" s="37" t="s">
        <v>1085</v>
      </c>
      <c r="I630" s="42">
        <f t="shared" si="63"/>
        <v>54915.254237288136</v>
      </c>
      <c r="J630" s="42">
        <v>64800</v>
      </c>
      <c r="K630" s="42"/>
      <c r="L630" s="42"/>
      <c r="M630" s="42">
        <f t="shared" si="64"/>
        <v>54915.254237288136</v>
      </c>
      <c r="N630" s="42">
        <v>64800</v>
      </c>
      <c r="O630" s="42"/>
      <c r="P630" s="42">
        <f t="shared" si="60"/>
        <v>54915.254237288136</v>
      </c>
      <c r="Q630" s="42">
        <v>64800</v>
      </c>
    </row>
    <row r="631" spans="1:17" s="4" customFormat="1" ht="36.75" customHeight="1" x14ac:dyDescent="0.25">
      <c r="A631" s="18"/>
      <c r="B631" s="11" t="s">
        <v>962</v>
      </c>
      <c r="C631" s="37" t="s">
        <v>1383</v>
      </c>
      <c r="D631" s="38"/>
      <c r="E631" s="38"/>
      <c r="F631" s="72"/>
      <c r="G631" s="34">
        <v>7161</v>
      </c>
      <c r="H631" s="37" t="s">
        <v>1140</v>
      </c>
      <c r="I631" s="42">
        <f t="shared" si="63"/>
        <v>55169.491525423735</v>
      </c>
      <c r="J631" s="42">
        <v>65100</v>
      </c>
      <c r="K631" s="42"/>
      <c r="L631" s="42"/>
      <c r="M631" s="42">
        <f t="shared" si="64"/>
        <v>55169.491525423735</v>
      </c>
      <c r="N631" s="42">
        <v>65100</v>
      </c>
      <c r="O631" s="42"/>
      <c r="P631" s="42">
        <f t="shared" si="60"/>
        <v>55169.491525423735</v>
      </c>
      <c r="Q631" s="42">
        <v>65100</v>
      </c>
    </row>
    <row r="632" spans="1:17" s="4" customFormat="1" ht="36.75" customHeight="1" x14ac:dyDescent="0.25">
      <c r="A632" s="18"/>
      <c r="B632" s="11" t="s">
        <v>962</v>
      </c>
      <c r="C632" s="37" t="s">
        <v>1384</v>
      </c>
      <c r="D632" s="38"/>
      <c r="E632" s="38"/>
      <c r="F632" s="72"/>
      <c r="G632" s="34">
        <v>8083</v>
      </c>
      <c r="H632" s="37" t="s">
        <v>1105</v>
      </c>
      <c r="I632" s="42">
        <f t="shared" si="63"/>
        <v>27966.101694915254</v>
      </c>
      <c r="J632" s="42">
        <v>33000</v>
      </c>
      <c r="K632" s="42"/>
      <c r="L632" s="42"/>
      <c r="M632" s="42">
        <f t="shared" si="64"/>
        <v>27966.101694915254</v>
      </c>
      <c r="N632" s="42">
        <v>33000</v>
      </c>
      <c r="O632" s="42"/>
      <c r="P632" s="42">
        <f t="shared" si="60"/>
        <v>27966.101694915254</v>
      </c>
      <c r="Q632" s="42">
        <v>33000</v>
      </c>
    </row>
    <row r="633" spans="1:17" s="4" customFormat="1" ht="36.75" customHeight="1" x14ac:dyDescent="0.25">
      <c r="A633" s="18"/>
      <c r="B633" s="11" t="s">
        <v>962</v>
      </c>
      <c r="C633" s="37" t="s">
        <v>1385</v>
      </c>
      <c r="D633" s="38"/>
      <c r="E633" s="38"/>
      <c r="F633" s="72"/>
      <c r="G633" s="34">
        <v>8503</v>
      </c>
      <c r="H633" s="37" t="s">
        <v>1141</v>
      </c>
      <c r="I633" s="42">
        <f t="shared" si="63"/>
        <v>55169.491525423735</v>
      </c>
      <c r="J633" s="42">
        <v>65100</v>
      </c>
      <c r="K633" s="42"/>
      <c r="L633" s="42"/>
      <c r="M633" s="42">
        <f t="shared" si="64"/>
        <v>55169.491525423735</v>
      </c>
      <c r="N633" s="42">
        <v>65100</v>
      </c>
      <c r="O633" s="42"/>
      <c r="P633" s="42">
        <f t="shared" si="60"/>
        <v>55169.491525423735</v>
      </c>
      <c r="Q633" s="42">
        <v>65100</v>
      </c>
    </row>
    <row r="634" spans="1:17" s="4" customFormat="1" ht="36.75" customHeight="1" x14ac:dyDescent="0.25">
      <c r="A634" s="18"/>
      <c r="B634" s="11" t="s">
        <v>962</v>
      </c>
      <c r="C634" s="37" t="s">
        <v>1386</v>
      </c>
      <c r="D634" s="38"/>
      <c r="E634" s="38"/>
      <c r="F634" s="72"/>
      <c r="G634" s="34">
        <v>817</v>
      </c>
      <c r="H634" s="37" t="s">
        <v>1142</v>
      </c>
      <c r="I634" s="42">
        <f t="shared" si="63"/>
        <v>27966.101694915254</v>
      </c>
      <c r="J634" s="42">
        <v>33000</v>
      </c>
      <c r="K634" s="42"/>
      <c r="L634" s="42"/>
      <c r="M634" s="42">
        <f t="shared" si="64"/>
        <v>27966.101694915254</v>
      </c>
      <c r="N634" s="42">
        <v>33000</v>
      </c>
      <c r="O634" s="42"/>
      <c r="P634" s="42">
        <f t="shared" si="60"/>
        <v>27966.101694915254</v>
      </c>
      <c r="Q634" s="42">
        <v>33000</v>
      </c>
    </row>
    <row r="635" spans="1:17" s="4" customFormat="1" ht="36.75" customHeight="1" x14ac:dyDescent="0.25">
      <c r="A635" s="18"/>
      <c r="B635" s="11" t="s">
        <v>962</v>
      </c>
      <c r="C635" s="37" t="s">
        <v>1387</v>
      </c>
      <c r="D635" s="38"/>
      <c r="E635" s="38"/>
      <c r="F635" s="72"/>
      <c r="G635" s="34">
        <v>2726</v>
      </c>
      <c r="H635" s="37" t="s">
        <v>1143</v>
      </c>
      <c r="I635" s="42">
        <f t="shared" si="63"/>
        <v>31779.661016949154</v>
      </c>
      <c r="J635" s="42">
        <v>37500</v>
      </c>
      <c r="K635" s="42"/>
      <c r="L635" s="42"/>
      <c r="M635" s="42">
        <f t="shared" si="64"/>
        <v>31779.661016949154</v>
      </c>
      <c r="N635" s="42">
        <v>37500</v>
      </c>
      <c r="O635" s="42"/>
      <c r="P635" s="42">
        <f t="shared" si="60"/>
        <v>31779.661016949154</v>
      </c>
      <c r="Q635" s="42">
        <v>37500</v>
      </c>
    </row>
    <row r="636" spans="1:17" s="4" customFormat="1" ht="36.75" customHeight="1" x14ac:dyDescent="0.25">
      <c r="A636" s="18"/>
      <c r="B636" s="11" t="s">
        <v>962</v>
      </c>
      <c r="C636" s="37" t="s">
        <v>1388</v>
      </c>
      <c r="D636" s="38"/>
      <c r="E636" s="38"/>
      <c r="F636" s="72"/>
      <c r="G636" s="34">
        <v>3192</v>
      </c>
      <c r="H636" s="37" t="s">
        <v>1144</v>
      </c>
      <c r="I636" s="42">
        <f t="shared" si="63"/>
        <v>31779.661016949154</v>
      </c>
      <c r="J636" s="42">
        <v>37500</v>
      </c>
      <c r="K636" s="42"/>
      <c r="L636" s="42"/>
      <c r="M636" s="42">
        <f t="shared" si="64"/>
        <v>31779.661016949154</v>
      </c>
      <c r="N636" s="42">
        <v>37500</v>
      </c>
      <c r="O636" s="42"/>
      <c r="P636" s="42">
        <f t="shared" si="60"/>
        <v>31779.661016949154</v>
      </c>
      <c r="Q636" s="42">
        <v>37500</v>
      </c>
    </row>
    <row r="637" spans="1:17" s="4" customFormat="1" ht="36.75" customHeight="1" x14ac:dyDescent="0.25">
      <c r="A637" s="18"/>
      <c r="B637" s="11" t="s">
        <v>963</v>
      </c>
      <c r="C637" s="37" t="s">
        <v>1389</v>
      </c>
      <c r="D637" s="38"/>
      <c r="E637" s="38"/>
      <c r="F637" s="72"/>
      <c r="G637" s="34">
        <v>5322</v>
      </c>
      <c r="H637" s="37" t="s">
        <v>1083</v>
      </c>
      <c r="I637" s="42">
        <f t="shared" si="63"/>
        <v>73000</v>
      </c>
      <c r="J637" s="42">
        <v>86140</v>
      </c>
      <c r="K637" s="42"/>
      <c r="L637" s="42"/>
      <c r="M637" s="42">
        <f t="shared" si="64"/>
        <v>73000</v>
      </c>
      <c r="N637" s="42">
        <v>86140</v>
      </c>
      <c r="O637" s="42"/>
      <c r="P637" s="42">
        <f t="shared" si="60"/>
        <v>73000</v>
      </c>
      <c r="Q637" s="42">
        <v>86140</v>
      </c>
    </row>
    <row r="638" spans="1:17" s="4" customFormat="1" ht="36.75" customHeight="1" x14ac:dyDescent="0.25">
      <c r="A638" s="18"/>
      <c r="B638" s="11" t="s">
        <v>963</v>
      </c>
      <c r="C638" s="37" t="s">
        <v>1390</v>
      </c>
      <c r="D638" s="38"/>
      <c r="E638" s="38"/>
      <c r="F638" s="72"/>
      <c r="G638" s="34">
        <v>7188</v>
      </c>
      <c r="H638" s="37" t="s">
        <v>1094</v>
      </c>
      <c r="I638" s="42">
        <f t="shared" si="63"/>
        <v>26400</v>
      </c>
      <c r="J638" s="42">
        <v>31152</v>
      </c>
      <c r="K638" s="42"/>
      <c r="L638" s="42"/>
      <c r="M638" s="42">
        <f t="shared" si="64"/>
        <v>26400</v>
      </c>
      <c r="N638" s="42">
        <v>31152</v>
      </c>
      <c r="O638" s="42"/>
      <c r="P638" s="42">
        <f t="shared" si="60"/>
        <v>26400</v>
      </c>
      <c r="Q638" s="42">
        <v>31152</v>
      </c>
    </row>
    <row r="639" spans="1:17" s="4" customFormat="1" ht="36.75" customHeight="1" x14ac:dyDescent="0.25">
      <c r="A639" s="18"/>
      <c r="B639" s="11" t="s">
        <v>964</v>
      </c>
      <c r="C639" s="37" t="s">
        <v>1391</v>
      </c>
      <c r="D639" s="38"/>
      <c r="E639" s="38"/>
      <c r="F639" s="72"/>
      <c r="G639" s="34">
        <v>7510</v>
      </c>
      <c r="H639" s="37" t="s">
        <v>49</v>
      </c>
      <c r="I639" s="42">
        <f t="shared" si="63"/>
        <v>5847.4576271186443</v>
      </c>
      <c r="J639" s="42">
        <v>6900</v>
      </c>
      <c r="K639" s="42"/>
      <c r="L639" s="42"/>
      <c r="M639" s="42">
        <f t="shared" si="64"/>
        <v>5847.4576271186443</v>
      </c>
      <c r="N639" s="42">
        <v>6900</v>
      </c>
      <c r="O639" s="42"/>
      <c r="P639" s="42">
        <f t="shared" si="60"/>
        <v>5847.4576271186443</v>
      </c>
      <c r="Q639" s="42">
        <v>6900</v>
      </c>
    </row>
    <row r="640" spans="1:17" s="4" customFormat="1" ht="36.75" customHeight="1" x14ac:dyDescent="0.25">
      <c r="A640" s="18"/>
      <c r="B640" s="11" t="s">
        <v>964</v>
      </c>
      <c r="C640" s="37" t="s">
        <v>1392</v>
      </c>
      <c r="D640" s="38"/>
      <c r="E640" s="38"/>
      <c r="F640" s="72"/>
      <c r="G640" s="34">
        <v>15682</v>
      </c>
      <c r="H640" s="37" t="s">
        <v>1145</v>
      </c>
      <c r="I640" s="42">
        <f t="shared" si="63"/>
        <v>17796.610169491527</v>
      </c>
      <c r="J640" s="42">
        <v>21000</v>
      </c>
      <c r="K640" s="42"/>
      <c r="L640" s="42"/>
      <c r="M640" s="42">
        <f t="shared" si="64"/>
        <v>17796.610169491527</v>
      </c>
      <c r="N640" s="42">
        <v>21000</v>
      </c>
      <c r="O640" s="42"/>
      <c r="P640" s="42">
        <f t="shared" si="60"/>
        <v>17796.610169491527</v>
      </c>
      <c r="Q640" s="42">
        <v>21000</v>
      </c>
    </row>
    <row r="641" spans="1:17" s="4" customFormat="1" ht="36.75" customHeight="1" x14ac:dyDescent="0.25">
      <c r="A641" s="18"/>
      <c r="B641" s="11" t="s">
        <v>965</v>
      </c>
      <c r="C641" s="37" t="s">
        <v>1393</v>
      </c>
      <c r="D641" s="38"/>
      <c r="E641" s="38"/>
      <c r="F641" s="72"/>
      <c r="G641" s="34">
        <v>7465</v>
      </c>
      <c r="H641" s="37" t="s">
        <v>1096</v>
      </c>
      <c r="I641" s="42">
        <f t="shared" si="63"/>
        <v>3794.5000000000005</v>
      </c>
      <c r="J641" s="42">
        <v>4477.51</v>
      </c>
      <c r="K641" s="42"/>
      <c r="L641" s="42"/>
      <c r="M641" s="42">
        <f t="shared" si="64"/>
        <v>3794.5000000000005</v>
      </c>
      <c r="N641" s="42">
        <v>4477.51</v>
      </c>
      <c r="O641" s="42"/>
      <c r="P641" s="42">
        <f t="shared" si="60"/>
        <v>3794.5000000000005</v>
      </c>
      <c r="Q641" s="42">
        <v>4477.51</v>
      </c>
    </row>
    <row r="642" spans="1:17" s="4" customFormat="1" ht="36.75" customHeight="1" x14ac:dyDescent="0.25">
      <c r="A642" s="18"/>
      <c r="B642" s="11" t="s">
        <v>966</v>
      </c>
      <c r="C642" s="37" t="s">
        <v>1394</v>
      </c>
      <c r="D642" s="38"/>
      <c r="E642" s="38"/>
      <c r="F642" s="72"/>
      <c r="G642" s="34">
        <v>16128</v>
      </c>
      <c r="H642" s="37" t="s">
        <v>1146</v>
      </c>
      <c r="I642" s="42">
        <f t="shared" si="63"/>
        <v>47207.016949152545</v>
      </c>
      <c r="J642" s="42">
        <v>55704.28</v>
      </c>
      <c r="K642" s="42"/>
      <c r="L642" s="42"/>
      <c r="M642" s="42">
        <f t="shared" si="64"/>
        <v>47207.016949152545</v>
      </c>
      <c r="N642" s="42">
        <v>55704.28</v>
      </c>
      <c r="O642" s="42"/>
      <c r="P642" s="42">
        <f t="shared" si="60"/>
        <v>47207.016949152545</v>
      </c>
      <c r="Q642" s="42">
        <v>55704.28</v>
      </c>
    </row>
    <row r="643" spans="1:17" s="4" customFormat="1" ht="36.75" customHeight="1" x14ac:dyDescent="0.25">
      <c r="A643" s="18"/>
      <c r="B643" s="11" t="s">
        <v>967</v>
      </c>
      <c r="C643" s="37" t="s">
        <v>1395</v>
      </c>
      <c r="D643" s="38"/>
      <c r="E643" s="38"/>
      <c r="F643" s="72"/>
      <c r="G643" s="34">
        <v>9972</v>
      </c>
      <c r="H643" s="37" t="s">
        <v>1147</v>
      </c>
      <c r="I643" s="42">
        <f t="shared" si="63"/>
        <v>24755.084745762713</v>
      </c>
      <c r="J643" s="42">
        <v>29211</v>
      </c>
      <c r="K643" s="42"/>
      <c r="L643" s="42"/>
      <c r="M643" s="42">
        <f t="shared" si="64"/>
        <v>24755.084745762713</v>
      </c>
      <c r="N643" s="42">
        <v>29211</v>
      </c>
      <c r="O643" s="42"/>
      <c r="P643" s="42">
        <f t="shared" si="60"/>
        <v>24755.084745762713</v>
      </c>
      <c r="Q643" s="42">
        <v>29211</v>
      </c>
    </row>
    <row r="644" spans="1:17" s="4" customFormat="1" ht="36.75" customHeight="1" x14ac:dyDescent="0.25">
      <c r="A644" s="18"/>
      <c r="B644" s="11" t="s">
        <v>968</v>
      </c>
      <c r="C644" s="37" t="s">
        <v>1396</v>
      </c>
      <c r="D644" s="38"/>
      <c r="E644" s="38"/>
      <c r="F644" s="72"/>
      <c r="G644" s="34">
        <v>6514</v>
      </c>
      <c r="H644" s="37" t="s">
        <v>1148</v>
      </c>
      <c r="I644" s="42">
        <f>J644/1.18</f>
        <v>288135.59322033898</v>
      </c>
      <c r="J644" s="42">
        <v>340000</v>
      </c>
      <c r="K644" s="42"/>
      <c r="L644" s="42"/>
      <c r="M644" s="42">
        <f>N644/1.18</f>
        <v>288135.59322033898</v>
      </c>
      <c r="N644" s="42">
        <v>340000</v>
      </c>
      <c r="O644" s="42"/>
      <c r="P644" s="42">
        <f t="shared" si="60"/>
        <v>288135.59322033898</v>
      </c>
      <c r="Q644" s="42">
        <v>340000</v>
      </c>
    </row>
    <row r="645" spans="1:17" s="4" customFormat="1" ht="36.75" customHeight="1" x14ac:dyDescent="0.25">
      <c r="A645" s="18"/>
      <c r="B645" s="11" t="s">
        <v>968</v>
      </c>
      <c r="C645" s="37" t="s">
        <v>1397</v>
      </c>
      <c r="D645" s="38"/>
      <c r="E645" s="38"/>
      <c r="F645" s="72"/>
      <c r="G645" s="34">
        <v>7459</v>
      </c>
      <c r="H645" s="37" t="s">
        <v>1096</v>
      </c>
      <c r="I645" s="42">
        <f t="shared" ref="I645:I648" si="65">J645/1.18</f>
        <v>288135.59322033898</v>
      </c>
      <c r="J645" s="42">
        <v>340000</v>
      </c>
      <c r="K645" s="42"/>
      <c r="L645" s="42"/>
      <c r="M645" s="42">
        <f t="shared" ref="M645:M648" si="66">N645/1.18</f>
        <v>288135.59322033898</v>
      </c>
      <c r="N645" s="42">
        <v>340000</v>
      </c>
      <c r="O645" s="42"/>
      <c r="P645" s="42">
        <f t="shared" si="60"/>
        <v>288135.59322033898</v>
      </c>
      <c r="Q645" s="42">
        <v>340000</v>
      </c>
    </row>
    <row r="646" spans="1:17" s="4" customFormat="1" ht="36.75" customHeight="1" x14ac:dyDescent="0.25">
      <c r="A646" s="18"/>
      <c r="B646" s="11" t="s">
        <v>968</v>
      </c>
      <c r="C646" s="37" t="s">
        <v>1398</v>
      </c>
      <c r="D646" s="38"/>
      <c r="E646" s="38"/>
      <c r="F646" s="72"/>
      <c r="G646" s="34">
        <v>9634</v>
      </c>
      <c r="H646" s="37" t="s">
        <v>1149</v>
      </c>
      <c r="I646" s="42">
        <f t="shared" si="65"/>
        <v>378135.59322033898</v>
      </c>
      <c r="J646" s="42">
        <v>446200</v>
      </c>
      <c r="K646" s="42"/>
      <c r="L646" s="42"/>
      <c r="M646" s="42">
        <f t="shared" si="66"/>
        <v>378135.59322033898</v>
      </c>
      <c r="N646" s="42">
        <v>446200</v>
      </c>
      <c r="O646" s="42"/>
      <c r="P646" s="42">
        <f t="shared" si="60"/>
        <v>378135.59322033898</v>
      </c>
      <c r="Q646" s="42">
        <v>446200</v>
      </c>
    </row>
    <row r="647" spans="1:17" s="4" customFormat="1" ht="36.75" customHeight="1" x14ac:dyDescent="0.25">
      <c r="A647" s="18"/>
      <c r="B647" s="11" t="s">
        <v>968</v>
      </c>
      <c r="C647" s="37" t="s">
        <v>1399</v>
      </c>
      <c r="D647" s="38"/>
      <c r="E647" s="38"/>
      <c r="F647" s="72"/>
      <c r="G647" s="34">
        <v>1221</v>
      </c>
      <c r="H647" s="37" t="s">
        <v>1150</v>
      </c>
      <c r="I647" s="42">
        <f t="shared" si="65"/>
        <v>149762.7118644068</v>
      </c>
      <c r="J647" s="42">
        <v>176720</v>
      </c>
      <c r="K647" s="42"/>
      <c r="L647" s="42"/>
      <c r="M647" s="42">
        <f t="shared" si="66"/>
        <v>149762.7118644068</v>
      </c>
      <c r="N647" s="42">
        <v>176720</v>
      </c>
      <c r="O647" s="42"/>
      <c r="P647" s="42">
        <f t="shared" si="60"/>
        <v>149762.7118644068</v>
      </c>
      <c r="Q647" s="42">
        <v>176720</v>
      </c>
    </row>
    <row r="648" spans="1:17" s="4" customFormat="1" ht="36.75" customHeight="1" x14ac:dyDescent="0.25">
      <c r="A648" s="18"/>
      <c r="B648" s="11" t="s">
        <v>968</v>
      </c>
      <c r="C648" s="37" t="s">
        <v>1400</v>
      </c>
      <c r="D648" s="38"/>
      <c r="E648" s="38"/>
      <c r="F648" s="72"/>
      <c r="G648" s="34">
        <v>4337</v>
      </c>
      <c r="H648" s="37" t="s">
        <v>1151</v>
      </c>
      <c r="I648" s="42">
        <f t="shared" si="65"/>
        <v>240406.77966101698</v>
      </c>
      <c r="J648" s="42">
        <v>283680</v>
      </c>
      <c r="K648" s="42"/>
      <c r="L648" s="42"/>
      <c r="M648" s="42">
        <f t="shared" si="66"/>
        <v>240406.77966101698</v>
      </c>
      <c r="N648" s="42">
        <v>283680</v>
      </c>
      <c r="O648" s="42"/>
      <c r="P648" s="42">
        <f t="shared" si="60"/>
        <v>240406.77966101698</v>
      </c>
      <c r="Q648" s="42">
        <v>283680</v>
      </c>
    </row>
    <row r="649" spans="1:17" s="4" customFormat="1" ht="36.75" customHeight="1" x14ac:dyDescent="0.25">
      <c r="A649" s="18"/>
      <c r="B649" s="11" t="s">
        <v>969</v>
      </c>
      <c r="C649" s="37" t="s">
        <v>1401</v>
      </c>
      <c r="D649" s="38"/>
      <c r="E649" s="38"/>
      <c r="F649" s="72"/>
      <c r="G649" s="34">
        <v>7731</v>
      </c>
      <c r="H649" s="37" t="s">
        <v>1100</v>
      </c>
      <c r="I649" s="42">
        <f>J649/1.18</f>
        <v>118644.06779661018</v>
      </c>
      <c r="J649" s="42">
        <v>140000</v>
      </c>
      <c r="K649" s="42"/>
      <c r="L649" s="42"/>
      <c r="M649" s="42">
        <f>N649/1.18</f>
        <v>118644.06779661018</v>
      </c>
      <c r="N649" s="42">
        <v>140000</v>
      </c>
      <c r="O649" s="42"/>
      <c r="P649" s="42">
        <f t="shared" si="60"/>
        <v>118644.06779661018</v>
      </c>
      <c r="Q649" s="42">
        <v>140000</v>
      </c>
    </row>
    <row r="650" spans="1:17" s="4" customFormat="1" ht="36.75" customHeight="1" x14ac:dyDescent="0.25">
      <c r="A650" s="18"/>
      <c r="B650" s="11" t="s">
        <v>969</v>
      </c>
      <c r="C650" s="37" t="s">
        <v>1402</v>
      </c>
      <c r="D650" s="38"/>
      <c r="E650" s="38"/>
      <c r="F650" s="72"/>
      <c r="G650" s="34">
        <v>8721</v>
      </c>
      <c r="H650" s="37" t="s">
        <v>1111</v>
      </c>
      <c r="I650" s="42">
        <f t="shared" ref="I650:I655" si="67">J650/1.18</f>
        <v>116745.76271186442</v>
      </c>
      <c r="J650" s="42">
        <v>137760</v>
      </c>
      <c r="K650" s="42"/>
      <c r="L650" s="42"/>
      <c r="M650" s="42">
        <f t="shared" ref="M650:M655" si="68">N650/1.18</f>
        <v>116745.76271186442</v>
      </c>
      <c r="N650" s="42">
        <v>137760</v>
      </c>
      <c r="O650" s="42"/>
      <c r="P650" s="42">
        <f t="shared" si="60"/>
        <v>116745.76271186442</v>
      </c>
      <c r="Q650" s="42">
        <v>137760</v>
      </c>
    </row>
    <row r="651" spans="1:17" s="4" customFormat="1" ht="36.75" customHeight="1" x14ac:dyDescent="0.25">
      <c r="A651" s="18"/>
      <c r="B651" s="11" t="s">
        <v>969</v>
      </c>
      <c r="C651" s="37" t="s">
        <v>1403</v>
      </c>
      <c r="D651" s="38"/>
      <c r="E651" s="38"/>
      <c r="F651" s="72"/>
      <c r="G651" s="34">
        <v>8968</v>
      </c>
      <c r="H651" s="37" t="s">
        <v>1152</v>
      </c>
      <c r="I651" s="42">
        <f t="shared" si="67"/>
        <v>44915.254237288136</v>
      </c>
      <c r="J651" s="42">
        <v>53000</v>
      </c>
      <c r="K651" s="42"/>
      <c r="L651" s="42"/>
      <c r="M651" s="42">
        <f t="shared" si="68"/>
        <v>44915.254237288136</v>
      </c>
      <c r="N651" s="42">
        <v>53000</v>
      </c>
      <c r="O651" s="42"/>
      <c r="P651" s="42">
        <f t="shared" si="60"/>
        <v>44915.254237288136</v>
      </c>
      <c r="Q651" s="42">
        <v>53000</v>
      </c>
    </row>
    <row r="652" spans="1:17" s="4" customFormat="1" ht="36.75" customHeight="1" x14ac:dyDescent="0.25">
      <c r="A652" s="18"/>
      <c r="B652" s="11" t="s">
        <v>969</v>
      </c>
      <c r="C652" s="37" t="s">
        <v>1404</v>
      </c>
      <c r="D652" s="38"/>
      <c r="E652" s="38"/>
      <c r="F652" s="72"/>
      <c r="G652" s="34">
        <v>9516</v>
      </c>
      <c r="H652" s="37" t="s">
        <v>1153</v>
      </c>
      <c r="I652" s="42">
        <f t="shared" si="67"/>
        <v>78813.559322033907</v>
      </c>
      <c r="J652" s="42">
        <v>93000</v>
      </c>
      <c r="K652" s="42"/>
      <c r="L652" s="42"/>
      <c r="M652" s="42">
        <f t="shared" si="68"/>
        <v>78813.559322033907</v>
      </c>
      <c r="N652" s="42">
        <v>93000</v>
      </c>
      <c r="O652" s="42"/>
      <c r="P652" s="42">
        <f t="shared" si="60"/>
        <v>78813.559322033907</v>
      </c>
      <c r="Q652" s="42">
        <v>93000</v>
      </c>
    </row>
    <row r="653" spans="1:17" s="4" customFormat="1" ht="36.75" customHeight="1" x14ac:dyDescent="0.25">
      <c r="A653" s="18"/>
      <c r="B653" s="11" t="s">
        <v>969</v>
      </c>
      <c r="C653" s="37" t="s">
        <v>1405</v>
      </c>
      <c r="D653" s="38"/>
      <c r="E653" s="38"/>
      <c r="F653" s="72"/>
      <c r="G653" s="34">
        <v>3235</v>
      </c>
      <c r="H653" s="37" t="s">
        <v>1154</v>
      </c>
      <c r="I653" s="42">
        <f t="shared" si="67"/>
        <v>76271.186440677964</v>
      </c>
      <c r="J653" s="42">
        <v>90000</v>
      </c>
      <c r="K653" s="42"/>
      <c r="L653" s="42"/>
      <c r="M653" s="42">
        <f t="shared" si="68"/>
        <v>76271.186440677964</v>
      </c>
      <c r="N653" s="42">
        <v>90000</v>
      </c>
      <c r="O653" s="42"/>
      <c r="P653" s="42">
        <f t="shared" si="60"/>
        <v>76271.186440677964</v>
      </c>
      <c r="Q653" s="42">
        <v>90000</v>
      </c>
    </row>
    <row r="654" spans="1:17" s="4" customFormat="1" ht="36.75" customHeight="1" x14ac:dyDescent="0.25">
      <c r="A654" s="18"/>
      <c r="B654" s="11" t="s">
        <v>969</v>
      </c>
      <c r="C654" s="37" t="s">
        <v>1405</v>
      </c>
      <c r="D654" s="38"/>
      <c r="E654" s="38"/>
      <c r="F654" s="72"/>
      <c r="G654" s="34">
        <v>3424</v>
      </c>
      <c r="H654" s="37" t="s">
        <v>1155</v>
      </c>
      <c r="I654" s="42">
        <f t="shared" si="67"/>
        <v>76271.186440677964</v>
      </c>
      <c r="J654" s="42">
        <v>90000</v>
      </c>
      <c r="K654" s="42"/>
      <c r="L654" s="42"/>
      <c r="M654" s="42">
        <f t="shared" si="68"/>
        <v>76271.186440677964</v>
      </c>
      <c r="N654" s="42">
        <v>90000</v>
      </c>
      <c r="O654" s="42"/>
      <c r="P654" s="42">
        <f t="shared" si="60"/>
        <v>76271.186440677964</v>
      </c>
      <c r="Q654" s="42">
        <v>90000</v>
      </c>
    </row>
    <row r="655" spans="1:17" s="4" customFormat="1" ht="36.75" customHeight="1" x14ac:dyDescent="0.25">
      <c r="A655" s="18"/>
      <c r="B655" s="11" t="s">
        <v>969</v>
      </c>
      <c r="C655" s="37" t="s">
        <v>1406</v>
      </c>
      <c r="D655" s="38"/>
      <c r="E655" s="38"/>
      <c r="F655" s="72"/>
      <c r="G655" s="34">
        <v>3516</v>
      </c>
      <c r="H655" s="37" t="s">
        <v>1156</v>
      </c>
      <c r="I655" s="42">
        <f t="shared" si="67"/>
        <v>61864.406779661018</v>
      </c>
      <c r="J655" s="42">
        <v>73000</v>
      </c>
      <c r="K655" s="42"/>
      <c r="L655" s="42"/>
      <c r="M655" s="42">
        <f t="shared" si="68"/>
        <v>61864.406779661018</v>
      </c>
      <c r="N655" s="42">
        <v>73000</v>
      </c>
      <c r="O655" s="42"/>
      <c r="P655" s="42">
        <f t="shared" si="60"/>
        <v>61864.406779661018</v>
      </c>
      <c r="Q655" s="42">
        <v>73000</v>
      </c>
    </row>
    <row r="656" spans="1:17" s="4" customFormat="1" ht="36.75" customHeight="1" x14ac:dyDescent="0.25">
      <c r="A656" s="18"/>
      <c r="B656" s="11" t="s">
        <v>970</v>
      </c>
      <c r="C656" s="37" t="s">
        <v>1407</v>
      </c>
      <c r="D656" s="38"/>
      <c r="E656" s="38"/>
      <c r="F656" s="72"/>
      <c r="G656" s="34">
        <v>15683</v>
      </c>
      <c r="H656" s="37" t="s">
        <v>1145</v>
      </c>
      <c r="I656" s="42">
        <f>J656/1.18</f>
        <v>66508.474576271183</v>
      </c>
      <c r="J656" s="42">
        <v>78480</v>
      </c>
      <c r="K656" s="42"/>
      <c r="L656" s="42"/>
      <c r="M656" s="42">
        <f>N656/1.18</f>
        <v>66508.474576271183</v>
      </c>
      <c r="N656" s="42">
        <v>78480</v>
      </c>
      <c r="O656" s="42"/>
      <c r="P656" s="42">
        <f t="shared" si="60"/>
        <v>66508.474576271183</v>
      </c>
      <c r="Q656" s="42">
        <v>78480</v>
      </c>
    </row>
    <row r="657" spans="1:17" s="4" customFormat="1" ht="36.75" customHeight="1" x14ac:dyDescent="0.25">
      <c r="A657" s="18"/>
      <c r="B657" s="11" t="s">
        <v>970</v>
      </c>
      <c r="C657" s="37" t="s">
        <v>1408</v>
      </c>
      <c r="D657" s="38"/>
      <c r="E657" s="38"/>
      <c r="F657" s="72"/>
      <c r="G657" s="34">
        <v>16179</v>
      </c>
      <c r="H657" s="37" t="s">
        <v>1157</v>
      </c>
      <c r="I657" s="42">
        <f t="shared" ref="I657:I665" si="69">J657/1.18</f>
        <v>66508.474576271183</v>
      </c>
      <c r="J657" s="42">
        <v>78480</v>
      </c>
      <c r="K657" s="42"/>
      <c r="L657" s="42"/>
      <c r="M657" s="42">
        <f t="shared" ref="M657:M665" si="70">N657/1.18</f>
        <v>66508.474576271183</v>
      </c>
      <c r="N657" s="42">
        <v>78480</v>
      </c>
      <c r="O657" s="42"/>
      <c r="P657" s="42">
        <f t="shared" si="60"/>
        <v>66508.474576271183</v>
      </c>
      <c r="Q657" s="42">
        <v>78480</v>
      </c>
    </row>
    <row r="658" spans="1:17" s="4" customFormat="1" ht="36.75" customHeight="1" x14ac:dyDescent="0.25">
      <c r="A658" s="18"/>
      <c r="B658" s="11" t="s">
        <v>970</v>
      </c>
      <c r="C658" s="37" t="s">
        <v>1409</v>
      </c>
      <c r="D658" s="38"/>
      <c r="E658" s="38"/>
      <c r="F658" s="72"/>
      <c r="G658" s="34">
        <v>680</v>
      </c>
      <c r="H658" s="37" t="s">
        <v>1158</v>
      </c>
      <c r="I658" s="42">
        <f t="shared" si="69"/>
        <v>66508.474576271183</v>
      </c>
      <c r="J658" s="42">
        <v>78480</v>
      </c>
      <c r="K658" s="42"/>
      <c r="L658" s="42"/>
      <c r="M658" s="42">
        <f t="shared" si="70"/>
        <v>66508.474576271183</v>
      </c>
      <c r="N658" s="42">
        <v>78480</v>
      </c>
      <c r="O658" s="42"/>
      <c r="P658" s="42">
        <f t="shared" si="60"/>
        <v>66508.474576271183</v>
      </c>
      <c r="Q658" s="42">
        <v>78480</v>
      </c>
    </row>
    <row r="659" spans="1:17" s="4" customFormat="1" ht="36.75" customHeight="1" x14ac:dyDescent="0.25">
      <c r="A659" s="18"/>
      <c r="B659" s="11" t="s">
        <v>970</v>
      </c>
      <c r="C659" s="37" t="s">
        <v>1410</v>
      </c>
      <c r="D659" s="38"/>
      <c r="E659" s="38"/>
      <c r="F659" s="72"/>
      <c r="G659" s="34">
        <v>787</v>
      </c>
      <c r="H659" s="37" t="s">
        <v>1120</v>
      </c>
      <c r="I659" s="42">
        <f t="shared" si="69"/>
        <v>190162.7118644068</v>
      </c>
      <c r="J659" s="42">
        <v>224392</v>
      </c>
      <c r="K659" s="42"/>
      <c r="L659" s="42"/>
      <c r="M659" s="42">
        <f t="shared" si="70"/>
        <v>190162.7118644068</v>
      </c>
      <c r="N659" s="42">
        <v>224392</v>
      </c>
      <c r="O659" s="42"/>
      <c r="P659" s="42">
        <f t="shared" si="60"/>
        <v>190162.7118644068</v>
      </c>
      <c r="Q659" s="42">
        <v>224392</v>
      </c>
    </row>
    <row r="660" spans="1:17" s="4" customFormat="1" ht="36.75" customHeight="1" x14ac:dyDescent="0.25">
      <c r="A660" s="18"/>
      <c r="B660" s="11" t="s">
        <v>970</v>
      </c>
      <c r="C660" s="37" t="s">
        <v>1410</v>
      </c>
      <c r="D660" s="38"/>
      <c r="E660" s="38"/>
      <c r="F660" s="72"/>
      <c r="G660" s="34">
        <v>1172</v>
      </c>
      <c r="H660" s="37" t="s">
        <v>1159</v>
      </c>
      <c r="I660" s="42">
        <f t="shared" si="69"/>
        <v>95081.355932203398</v>
      </c>
      <c r="J660" s="42">
        <v>112196</v>
      </c>
      <c r="K660" s="42"/>
      <c r="L660" s="42"/>
      <c r="M660" s="42">
        <f t="shared" si="70"/>
        <v>95081.355932203398</v>
      </c>
      <c r="N660" s="42">
        <v>112196</v>
      </c>
      <c r="O660" s="42"/>
      <c r="P660" s="42">
        <f t="shared" si="60"/>
        <v>95081.355932203398</v>
      </c>
      <c r="Q660" s="42">
        <v>112196</v>
      </c>
    </row>
    <row r="661" spans="1:17" s="4" customFormat="1" ht="36.75" customHeight="1" x14ac:dyDescent="0.25">
      <c r="A661" s="18"/>
      <c r="B661" s="11" t="s">
        <v>970</v>
      </c>
      <c r="C661" s="37" t="s">
        <v>1410</v>
      </c>
      <c r="D661" s="38"/>
      <c r="E661" s="38"/>
      <c r="F661" s="72"/>
      <c r="G661" s="34">
        <v>1280</v>
      </c>
      <c r="H661" s="37" t="s">
        <v>1160</v>
      </c>
      <c r="I661" s="42">
        <f t="shared" si="69"/>
        <v>285244.06779661018</v>
      </c>
      <c r="J661" s="42">
        <v>336588</v>
      </c>
      <c r="K661" s="42"/>
      <c r="L661" s="42"/>
      <c r="M661" s="42">
        <f t="shared" si="70"/>
        <v>285244.06779661018</v>
      </c>
      <c r="N661" s="42">
        <v>336588</v>
      </c>
      <c r="O661" s="42"/>
      <c r="P661" s="42">
        <f t="shared" si="60"/>
        <v>285244.06779661018</v>
      </c>
      <c r="Q661" s="42">
        <v>336588</v>
      </c>
    </row>
    <row r="662" spans="1:17" s="4" customFormat="1" ht="36.75" customHeight="1" x14ac:dyDescent="0.25">
      <c r="A662" s="18"/>
      <c r="B662" s="11" t="s">
        <v>970</v>
      </c>
      <c r="C662" s="37" t="s">
        <v>1410</v>
      </c>
      <c r="D662" s="38"/>
      <c r="E662" s="38"/>
      <c r="F662" s="72"/>
      <c r="G662" s="34">
        <v>1358</v>
      </c>
      <c r="H662" s="37" t="s">
        <v>1161</v>
      </c>
      <c r="I662" s="42">
        <f>J662/1.18</f>
        <v>98522.03389830509</v>
      </c>
      <c r="J662" s="42">
        <v>116256</v>
      </c>
      <c r="K662" s="42"/>
      <c r="L662" s="42"/>
      <c r="M662" s="42">
        <f>N662/1.18</f>
        <v>98522.03389830509</v>
      </c>
      <c r="N662" s="42">
        <v>116256</v>
      </c>
      <c r="O662" s="42"/>
      <c r="P662" s="42">
        <f t="shared" ref="P662:P725" si="71">M662</f>
        <v>98522.03389830509</v>
      </c>
      <c r="Q662" s="42">
        <v>116256</v>
      </c>
    </row>
    <row r="663" spans="1:17" s="4" customFormat="1" ht="36.75" customHeight="1" x14ac:dyDescent="0.25">
      <c r="A663" s="18"/>
      <c r="B663" s="11" t="s">
        <v>970</v>
      </c>
      <c r="C663" s="37" t="s">
        <v>1410</v>
      </c>
      <c r="D663" s="38"/>
      <c r="E663" s="38"/>
      <c r="F663" s="72"/>
      <c r="G663" s="34">
        <v>1496</v>
      </c>
      <c r="H663" s="37" t="s">
        <v>1162</v>
      </c>
      <c r="I663" s="42">
        <f t="shared" si="69"/>
        <v>169491.52542372883</v>
      </c>
      <c r="J663" s="42">
        <v>200000</v>
      </c>
      <c r="K663" s="42"/>
      <c r="L663" s="42"/>
      <c r="M663" s="42">
        <f t="shared" si="70"/>
        <v>169491.52542372883</v>
      </c>
      <c r="N663" s="42">
        <v>200000</v>
      </c>
      <c r="O663" s="42"/>
      <c r="P663" s="42">
        <f t="shared" si="71"/>
        <v>169491.52542372883</v>
      </c>
      <c r="Q663" s="42">
        <v>200000</v>
      </c>
    </row>
    <row r="664" spans="1:17" s="4" customFormat="1" ht="36.75" customHeight="1" x14ac:dyDescent="0.25">
      <c r="A664" s="18"/>
      <c r="B664" s="11" t="s">
        <v>970</v>
      </c>
      <c r="C664" s="37" t="s">
        <v>1410</v>
      </c>
      <c r="D664" s="38"/>
      <c r="E664" s="38"/>
      <c r="F664" s="72"/>
      <c r="G664" s="34">
        <v>1586</v>
      </c>
      <c r="H664" s="37" t="s">
        <v>1163</v>
      </c>
      <c r="I664" s="42">
        <f t="shared" si="69"/>
        <v>169491.52542372883</v>
      </c>
      <c r="J664" s="42">
        <v>200000</v>
      </c>
      <c r="K664" s="42"/>
      <c r="L664" s="42"/>
      <c r="M664" s="42">
        <f t="shared" si="70"/>
        <v>169491.52542372883</v>
      </c>
      <c r="N664" s="42">
        <v>200000</v>
      </c>
      <c r="O664" s="42"/>
      <c r="P664" s="42">
        <f t="shared" si="71"/>
        <v>169491.52542372883</v>
      </c>
      <c r="Q664" s="42">
        <v>200000</v>
      </c>
    </row>
    <row r="665" spans="1:17" s="4" customFormat="1" ht="36.75" customHeight="1" x14ac:dyDescent="0.25">
      <c r="A665" s="18"/>
      <c r="B665" s="11" t="s">
        <v>971</v>
      </c>
      <c r="C665" s="37" t="s">
        <v>1411</v>
      </c>
      <c r="D665" s="38"/>
      <c r="E665" s="38"/>
      <c r="F665" s="72"/>
      <c r="G665" s="34">
        <v>6837</v>
      </c>
      <c r="H665" s="37" t="s">
        <v>1164</v>
      </c>
      <c r="I665" s="42">
        <f t="shared" si="69"/>
        <v>67118.644067796617</v>
      </c>
      <c r="J665" s="42">
        <v>79200</v>
      </c>
      <c r="K665" s="42"/>
      <c r="L665" s="42"/>
      <c r="M665" s="42">
        <f t="shared" si="70"/>
        <v>67118.644067796617</v>
      </c>
      <c r="N665" s="42">
        <v>79200</v>
      </c>
      <c r="O665" s="42"/>
      <c r="P665" s="42">
        <f t="shared" si="71"/>
        <v>67118.644067796617</v>
      </c>
      <c r="Q665" s="42">
        <v>79200</v>
      </c>
    </row>
    <row r="666" spans="1:17" s="4" customFormat="1" ht="36.75" customHeight="1" x14ac:dyDescent="0.25">
      <c r="A666" s="18"/>
      <c r="B666" s="11" t="s">
        <v>972</v>
      </c>
      <c r="C666" s="37" t="s">
        <v>1412</v>
      </c>
      <c r="D666" s="38"/>
      <c r="E666" s="38"/>
      <c r="F666" s="72"/>
      <c r="G666" s="34">
        <v>4060</v>
      </c>
      <c r="H666" s="37" t="s">
        <v>1165</v>
      </c>
      <c r="I666" s="42">
        <f>J666</f>
        <v>46204.3</v>
      </c>
      <c r="J666" s="42">
        <v>46204.3</v>
      </c>
      <c r="K666" s="42"/>
      <c r="L666" s="42"/>
      <c r="M666" s="42">
        <f>N666</f>
        <v>46204.3</v>
      </c>
      <c r="N666" s="42">
        <v>46204.3</v>
      </c>
      <c r="O666" s="42"/>
      <c r="P666" s="42">
        <f t="shared" si="71"/>
        <v>46204.3</v>
      </c>
      <c r="Q666" s="42">
        <v>46204.3</v>
      </c>
    </row>
    <row r="667" spans="1:17" s="4" customFormat="1" ht="36.75" customHeight="1" x14ac:dyDescent="0.25">
      <c r="A667" s="18"/>
      <c r="B667" s="11" t="s">
        <v>972</v>
      </c>
      <c r="C667" s="37" t="s">
        <v>1413</v>
      </c>
      <c r="D667" s="38"/>
      <c r="E667" s="38"/>
      <c r="F667" s="72"/>
      <c r="G667" s="34">
        <v>5221</v>
      </c>
      <c r="H667" s="37" t="s">
        <v>1166</v>
      </c>
      <c r="I667" s="42">
        <f>J667</f>
        <v>87593</v>
      </c>
      <c r="J667" s="42">
        <v>87593</v>
      </c>
      <c r="K667" s="42"/>
      <c r="L667" s="42"/>
      <c r="M667" s="42">
        <f>N667</f>
        <v>87593</v>
      </c>
      <c r="N667" s="42">
        <v>87593</v>
      </c>
      <c r="O667" s="42"/>
      <c r="P667" s="42">
        <f t="shared" si="71"/>
        <v>87593</v>
      </c>
      <c r="Q667" s="42">
        <v>87593</v>
      </c>
    </row>
    <row r="668" spans="1:17" s="4" customFormat="1" ht="36.75" customHeight="1" x14ac:dyDescent="0.25">
      <c r="A668" s="18"/>
      <c r="B668" s="11" t="s">
        <v>973</v>
      </c>
      <c r="C668" s="37" t="s">
        <v>1414</v>
      </c>
      <c r="D668" s="38"/>
      <c r="E668" s="38"/>
      <c r="F668" s="72"/>
      <c r="G668" s="34">
        <v>4138</v>
      </c>
      <c r="H668" s="37" t="s">
        <v>1167</v>
      </c>
      <c r="I668" s="42">
        <f>J668/1.18</f>
        <v>48137.796610169491</v>
      </c>
      <c r="J668" s="42">
        <v>56802.6</v>
      </c>
      <c r="K668" s="42"/>
      <c r="L668" s="42"/>
      <c r="M668" s="42">
        <f>N668/1.18</f>
        <v>48137.796610169491</v>
      </c>
      <c r="N668" s="42">
        <v>56802.6</v>
      </c>
      <c r="O668" s="42"/>
      <c r="P668" s="42">
        <f t="shared" si="71"/>
        <v>48137.796610169491</v>
      </c>
      <c r="Q668" s="42">
        <v>56802.6</v>
      </c>
    </row>
    <row r="669" spans="1:17" s="4" customFormat="1" ht="36.75" customHeight="1" x14ac:dyDescent="0.25">
      <c r="A669" s="18"/>
      <c r="B669" s="11" t="s">
        <v>974</v>
      </c>
      <c r="C669" s="37" t="s">
        <v>1415</v>
      </c>
      <c r="D669" s="38"/>
      <c r="E669" s="38"/>
      <c r="F669" s="72"/>
      <c r="G669" s="34">
        <v>4294</v>
      </c>
      <c r="H669" s="37" t="s">
        <v>1076</v>
      </c>
      <c r="I669" s="42">
        <f>J669/1.18</f>
        <v>52372.881355932208</v>
      </c>
      <c r="J669" s="42">
        <v>61800</v>
      </c>
      <c r="K669" s="42"/>
      <c r="L669" s="42"/>
      <c r="M669" s="42">
        <f>N669/1.18</f>
        <v>52372.881355932208</v>
      </c>
      <c r="N669" s="42">
        <v>61800</v>
      </c>
      <c r="O669" s="42"/>
      <c r="P669" s="42">
        <f t="shared" si="71"/>
        <v>52372.881355932208</v>
      </c>
      <c r="Q669" s="42">
        <v>61800</v>
      </c>
    </row>
    <row r="670" spans="1:17" s="4" customFormat="1" ht="36.75" customHeight="1" x14ac:dyDescent="0.25">
      <c r="A670" s="18"/>
      <c r="B670" s="11" t="s">
        <v>975</v>
      </c>
      <c r="C670" s="37" t="s">
        <v>1416</v>
      </c>
      <c r="D670" s="38"/>
      <c r="E670" s="38"/>
      <c r="F670" s="72"/>
      <c r="G670" s="34">
        <v>4837</v>
      </c>
      <c r="H670" s="37" t="s">
        <v>1080</v>
      </c>
      <c r="I670" s="42">
        <f>J670/1.18</f>
        <v>30638.983050847459</v>
      </c>
      <c r="J670" s="42">
        <v>36154</v>
      </c>
      <c r="K670" s="42"/>
      <c r="L670" s="42"/>
      <c r="M670" s="42">
        <f>N670/1.18</f>
        <v>30638.983050847459</v>
      </c>
      <c r="N670" s="42">
        <v>36154</v>
      </c>
      <c r="O670" s="42"/>
      <c r="P670" s="42">
        <f t="shared" si="71"/>
        <v>30638.983050847459</v>
      </c>
      <c r="Q670" s="42">
        <v>36154</v>
      </c>
    </row>
    <row r="671" spans="1:17" s="4" customFormat="1" ht="36.75" customHeight="1" x14ac:dyDescent="0.25">
      <c r="A671" s="18"/>
      <c r="B671" s="11" t="s">
        <v>975</v>
      </c>
      <c r="C671" s="37" t="s">
        <v>1417</v>
      </c>
      <c r="D671" s="38"/>
      <c r="E671" s="38"/>
      <c r="F671" s="72"/>
      <c r="G671" s="34">
        <v>5811</v>
      </c>
      <c r="H671" s="37" t="s">
        <v>1168</v>
      </c>
      <c r="I671" s="42">
        <f>J671/1.18</f>
        <v>3050.8474576271187</v>
      </c>
      <c r="J671" s="42">
        <v>3600</v>
      </c>
      <c r="K671" s="42"/>
      <c r="L671" s="42"/>
      <c r="M671" s="42">
        <f>N671/1.18</f>
        <v>3050.8474576271187</v>
      </c>
      <c r="N671" s="42">
        <v>3600</v>
      </c>
      <c r="O671" s="42"/>
      <c r="P671" s="42">
        <f t="shared" si="71"/>
        <v>3050.8474576271187</v>
      </c>
      <c r="Q671" s="42">
        <v>3600</v>
      </c>
    </row>
    <row r="672" spans="1:17" s="4" customFormat="1" ht="36.75" customHeight="1" x14ac:dyDescent="0.25">
      <c r="A672" s="18"/>
      <c r="B672" s="11" t="s">
        <v>976</v>
      </c>
      <c r="C672" s="37" t="s">
        <v>1418</v>
      </c>
      <c r="D672" s="38"/>
      <c r="E672" s="38"/>
      <c r="F672" s="72"/>
      <c r="G672" s="34">
        <v>6461</v>
      </c>
      <c r="H672" s="37" t="s">
        <v>1091</v>
      </c>
      <c r="I672" s="42">
        <f>J672/1.18</f>
        <v>48508.47457627119</v>
      </c>
      <c r="J672" s="42">
        <v>57240</v>
      </c>
      <c r="K672" s="42"/>
      <c r="L672" s="42"/>
      <c r="M672" s="42">
        <f>N672/1.18</f>
        <v>48508.47457627119</v>
      </c>
      <c r="N672" s="42">
        <v>57240</v>
      </c>
      <c r="O672" s="42"/>
      <c r="P672" s="42">
        <f t="shared" si="71"/>
        <v>48508.47457627119</v>
      </c>
      <c r="Q672" s="42">
        <v>57240</v>
      </c>
    </row>
    <row r="673" spans="1:17" s="4" customFormat="1" ht="36.75" customHeight="1" x14ac:dyDescent="0.25">
      <c r="A673" s="18"/>
      <c r="B673" s="11" t="s">
        <v>977</v>
      </c>
      <c r="C673" s="37" t="s">
        <v>1419</v>
      </c>
      <c r="D673" s="38"/>
      <c r="E673" s="38"/>
      <c r="F673" s="72"/>
      <c r="G673" s="34">
        <v>5002</v>
      </c>
      <c r="H673" s="37" t="s">
        <v>1081</v>
      </c>
      <c r="I673" s="42">
        <f t="shared" ref="I673:I678" si="72">J673/1.18</f>
        <v>43220.338983050853</v>
      </c>
      <c r="J673" s="42">
        <v>51000</v>
      </c>
      <c r="K673" s="42"/>
      <c r="L673" s="42"/>
      <c r="M673" s="42">
        <f t="shared" ref="M673:M678" si="73">N673/1.18</f>
        <v>43220.338983050853</v>
      </c>
      <c r="N673" s="42">
        <v>51000</v>
      </c>
      <c r="O673" s="42"/>
      <c r="P673" s="42">
        <f t="shared" si="71"/>
        <v>43220.338983050853</v>
      </c>
      <c r="Q673" s="42">
        <v>51000</v>
      </c>
    </row>
    <row r="674" spans="1:17" s="4" customFormat="1" ht="36.75" customHeight="1" x14ac:dyDescent="0.25">
      <c r="A674" s="18"/>
      <c r="B674" s="11" t="s">
        <v>977</v>
      </c>
      <c r="C674" s="37" t="s">
        <v>1420</v>
      </c>
      <c r="D674" s="38"/>
      <c r="E674" s="38"/>
      <c r="F674" s="72"/>
      <c r="G674" s="34">
        <v>5438</v>
      </c>
      <c r="H674" s="37" t="s">
        <v>1084</v>
      </c>
      <c r="I674" s="42">
        <f t="shared" si="72"/>
        <v>112949.15254237289</v>
      </c>
      <c r="J674" s="42">
        <v>133280</v>
      </c>
      <c r="K674" s="42"/>
      <c r="L674" s="42"/>
      <c r="M674" s="42">
        <f t="shared" si="73"/>
        <v>112949.15254237289</v>
      </c>
      <c r="N674" s="42">
        <v>133280</v>
      </c>
      <c r="O674" s="42"/>
      <c r="P674" s="42">
        <f t="shared" si="71"/>
        <v>112949.15254237289</v>
      </c>
      <c r="Q674" s="42">
        <v>133280</v>
      </c>
    </row>
    <row r="675" spans="1:17" s="4" customFormat="1" ht="36.75" customHeight="1" x14ac:dyDescent="0.25">
      <c r="A675" s="18"/>
      <c r="B675" s="11" t="s">
        <v>977</v>
      </c>
      <c r="C675" s="37" t="s">
        <v>1421</v>
      </c>
      <c r="D675" s="38"/>
      <c r="E675" s="38"/>
      <c r="F675" s="72"/>
      <c r="G675" s="34">
        <v>6646</v>
      </c>
      <c r="H675" s="37" t="s">
        <v>1169</v>
      </c>
      <c r="I675" s="42">
        <f t="shared" si="72"/>
        <v>111525.42372881356</v>
      </c>
      <c r="J675" s="42">
        <v>131600</v>
      </c>
      <c r="K675" s="42"/>
      <c r="L675" s="42"/>
      <c r="M675" s="42">
        <f t="shared" si="73"/>
        <v>111525.42372881356</v>
      </c>
      <c r="N675" s="42">
        <v>131600</v>
      </c>
      <c r="O675" s="42"/>
      <c r="P675" s="42">
        <f t="shared" si="71"/>
        <v>111525.42372881356</v>
      </c>
      <c r="Q675" s="42">
        <v>131600</v>
      </c>
    </row>
    <row r="676" spans="1:17" s="4" customFormat="1" ht="36.75" customHeight="1" x14ac:dyDescent="0.25">
      <c r="A676" s="18"/>
      <c r="B676" s="11" t="s">
        <v>978</v>
      </c>
      <c r="C676" s="37" t="s">
        <v>1422</v>
      </c>
      <c r="D676" s="38"/>
      <c r="E676" s="38"/>
      <c r="F676" s="72"/>
      <c r="G676" s="34">
        <v>5129</v>
      </c>
      <c r="H676" s="37" t="s">
        <v>1170</v>
      </c>
      <c r="I676" s="42">
        <f t="shared" si="72"/>
        <v>70542</v>
      </c>
      <c r="J676" s="42">
        <v>83239.56</v>
      </c>
      <c r="K676" s="42"/>
      <c r="L676" s="42"/>
      <c r="M676" s="42">
        <f t="shared" si="73"/>
        <v>70542</v>
      </c>
      <c r="N676" s="42">
        <v>83239.56</v>
      </c>
      <c r="O676" s="42"/>
      <c r="P676" s="42">
        <f t="shared" si="71"/>
        <v>70542</v>
      </c>
      <c r="Q676" s="42">
        <v>83239.56</v>
      </c>
    </row>
    <row r="677" spans="1:17" s="4" customFormat="1" ht="36.75" customHeight="1" x14ac:dyDescent="0.25">
      <c r="A677" s="18"/>
      <c r="B677" s="11" t="s">
        <v>979</v>
      </c>
      <c r="C677" s="37" t="s">
        <v>1423</v>
      </c>
      <c r="D677" s="38"/>
      <c r="E677" s="38"/>
      <c r="F677" s="72"/>
      <c r="G677" s="34">
        <v>4133</v>
      </c>
      <c r="H677" s="37" t="s">
        <v>1044</v>
      </c>
      <c r="I677" s="42">
        <f t="shared" si="72"/>
        <v>42033.898305084746</v>
      </c>
      <c r="J677" s="42">
        <v>49600</v>
      </c>
      <c r="K677" s="42"/>
      <c r="L677" s="42"/>
      <c r="M677" s="42">
        <f t="shared" si="73"/>
        <v>42033.898305084746</v>
      </c>
      <c r="N677" s="42">
        <v>49600</v>
      </c>
      <c r="O677" s="42"/>
      <c r="P677" s="42">
        <f t="shared" si="71"/>
        <v>42033.898305084746</v>
      </c>
      <c r="Q677" s="42">
        <v>49600</v>
      </c>
    </row>
    <row r="678" spans="1:17" s="4" customFormat="1" ht="36.75" customHeight="1" x14ac:dyDescent="0.25">
      <c r="A678" s="18"/>
      <c r="B678" s="11" t="s">
        <v>979</v>
      </c>
      <c r="C678" s="37" t="s">
        <v>1424</v>
      </c>
      <c r="D678" s="38"/>
      <c r="E678" s="38"/>
      <c r="F678" s="72"/>
      <c r="G678" s="34">
        <v>2537</v>
      </c>
      <c r="H678" s="37" t="s">
        <v>1065</v>
      </c>
      <c r="I678" s="42">
        <f t="shared" si="72"/>
        <v>64576.271186440681</v>
      </c>
      <c r="J678" s="42">
        <v>76200</v>
      </c>
      <c r="K678" s="42"/>
      <c r="L678" s="42"/>
      <c r="M678" s="42">
        <f t="shared" si="73"/>
        <v>64576.271186440681</v>
      </c>
      <c r="N678" s="42">
        <v>76200</v>
      </c>
      <c r="O678" s="42"/>
      <c r="P678" s="42">
        <f t="shared" si="71"/>
        <v>64576.271186440681</v>
      </c>
      <c r="Q678" s="42">
        <v>76200</v>
      </c>
    </row>
    <row r="679" spans="1:17" s="4" customFormat="1" ht="36.75" customHeight="1" x14ac:dyDescent="0.25">
      <c r="A679" s="18"/>
      <c r="B679" s="11" t="s">
        <v>980</v>
      </c>
      <c r="C679" s="37" t="s">
        <v>1425</v>
      </c>
      <c r="D679" s="38"/>
      <c r="E679" s="38"/>
      <c r="F679" s="72"/>
      <c r="G679" s="34">
        <v>3679</v>
      </c>
      <c r="H679" s="37" t="s">
        <v>1138</v>
      </c>
      <c r="I679" s="42">
        <f>J679</f>
        <v>18950</v>
      </c>
      <c r="J679" s="42">
        <v>18950</v>
      </c>
      <c r="K679" s="42"/>
      <c r="L679" s="42"/>
      <c r="M679" s="42">
        <f>N679</f>
        <v>18950</v>
      </c>
      <c r="N679" s="42">
        <v>18950</v>
      </c>
      <c r="O679" s="42"/>
      <c r="P679" s="42">
        <f t="shared" si="71"/>
        <v>18950</v>
      </c>
      <c r="Q679" s="42">
        <v>18950</v>
      </c>
    </row>
    <row r="680" spans="1:17" s="4" customFormat="1" ht="36.75" customHeight="1" x14ac:dyDescent="0.25">
      <c r="A680" s="18"/>
      <c r="B680" s="11" t="s">
        <v>981</v>
      </c>
      <c r="C680" s="37" t="s">
        <v>1426</v>
      </c>
      <c r="D680" s="38"/>
      <c r="E680" s="38"/>
      <c r="F680" s="72"/>
      <c r="G680" s="34">
        <v>3066</v>
      </c>
      <c r="H680" s="37" t="s">
        <v>1137</v>
      </c>
      <c r="I680" s="42">
        <f>J680/1.18</f>
        <v>102935.25423728814</v>
      </c>
      <c r="J680" s="42">
        <v>121463.6</v>
      </c>
      <c r="K680" s="42"/>
      <c r="L680" s="42"/>
      <c r="M680" s="42">
        <f>N680/1.18</f>
        <v>102935.25423728814</v>
      </c>
      <c r="N680" s="42">
        <v>121463.6</v>
      </c>
      <c r="O680" s="42"/>
      <c r="P680" s="42">
        <f t="shared" si="71"/>
        <v>102935.25423728814</v>
      </c>
      <c r="Q680" s="42">
        <v>121463.6</v>
      </c>
    </row>
    <row r="681" spans="1:17" s="4" customFormat="1" ht="36.75" customHeight="1" x14ac:dyDescent="0.25">
      <c r="A681" s="18"/>
      <c r="B681" s="11" t="s">
        <v>982</v>
      </c>
      <c r="C681" s="37" t="s">
        <v>1427</v>
      </c>
      <c r="D681" s="38"/>
      <c r="E681" s="38"/>
      <c r="F681" s="72"/>
      <c r="G681" s="34">
        <v>1980</v>
      </c>
      <c r="H681" s="37" t="s">
        <v>1171</v>
      </c>
      <c r="I681" s="42">
        <f>J681/1.18</f>
        <v>3241.5338983050851</v>
      </c>
      <c r="J681" s="42">
        <v>3825.01</v>
      </c>
      <c r="K681" s="42"/>
      <c r="L681" s="42"/>
      <c r="M681" s="42">
        <f>N681/1.18</f>
        <v>3241.5338983050851</v>
      </c>
      <c r="N681" s="42">
        <v>3825.01</v>
      </c>
      <c r="O681" s="42"/>
      <c r="P681" s="42">
        <f t="shared" si="71"/>
        <v>3241.5338983050851</v>
      </c>
      <c r="Q681" s="42">
        <v>3825.01</v>
      </c>
    </row>
    <row r="682" spans="1:17" s="4" customFormat="1" ht="36.75" customHeight="1" x14ac:dyDescent="0.25">
      <c r="A682" s="18"/>
      <c r="B682" s="11" t="s">
        <v>983</v>
      </c>
      <c r="C682" s="37" t="s">
        <v>1428</v>
      </c>
      <c r="D682" s="38"/>
      <c r="E682" s="38"/>
      <c r="F682" s="72"/>
      <c r="G682" s="34">
        <v>2035</v>
      </c>
      <c r="H682" s="37" t="s">
        <v>1172</v>
      </c>
      <c r="I682" s="42">
        <f>J682/1.18</f>
        <v>3533.898305084746</v>
      </c>
      <c r="J682" s="42">
        <v>4170</v>
      </c>
      <c r="K682" s="42"/>
      <c r="L682" s="42"/>
      <c r="M682" s="42">
        <f>N682/1.18</f>
        <v>3533.898305084746</v>
      </c>
      <c r="N682" s="42">
        <v>4170</v>
      </c>
      <c r="O682" s="42"/>
      <c r="P682" s="42">
        <f t="shared" si="71"/>
        <v>3533.898305084746</v>
      </c>
      <c r="Q682" s="42">
        <v>4170</v>
      </c>
    </row>
    <row r="683" spans="1:17" s="4" customFormat="1" ht="36.75" customHeight="1" x14ac:dyDescent="0.25">
      <c r="A683" s="18"/>
      <c r="B683" s="11" t="s">
        <v>984</v>
      </c>
      <c r="C683" s="37" t="s">
        <v>1429</v>
      </c>
      <c r="D683" s="38"/>
      <c r="E683" s="38"/>
      <c r="F683" s="72"/>
      <c r="G683" s="34">
        <v>9296</v>
      </c>
      <c r="H683" s="37" t="s">
        <v>1059</v>
      </c>
      <c r="I683" s="42">
        <f t="shared" ref="I683:I698" si="74">J683/1.18</f>
        <v>230727.5254237288</v>
      </c>
      <c r="J683" s="42">
        <v>272258.48</v>
      </c>
      <c r="K683" s="42"/>
      <c r="L683" s="42"/>
      <c r="M683" s="42">
        <f t="shared" ref="M683:M698" si="75">N683/1.18</f>
        <v>230727.5254237288</v>
      </c>
      <c r="N683" s="42">
        <v>272258.48</v>
      </c>
      <c r="O683" s="42"/>
      <c r="P683" s="42">
        <f t="shared" si="71"/>
        <v>230727.5254237288</v>
      </c>
      <c r="Q683" s="42">
        <v>272258.48</v>
      </c>
    </row>
    <row r="684" spans="1:17" s="4" customFormat="1" ht="36.75" customHeight="1" x14ac:dyDescent="0.25">
      <c r="A684" s="18"/>
      <c r="B684" s="11" t="s">
        <v>984</v>
      </c>
      <c r="C684" s="37" t="s">
        <v>1429</v>
      </c>
      <c r="D684" s="38"/>
      <c r="E684" s="38"/>
      <c r="F684" s="72"/>
      <c r="G684" s="34">
        <v>9556</v>
      </c>
      <c r="H684" s="37" t="s">
        <v>1173</v>
      </c>
      <c r="I684" s="42">
        <f t="shared" si="74"/>
        <v>356386.44067796611</v>
      </c>
      <c r="J684" s="42">
        <v>420536</v>
      </c>
      <c r="K684" s="42"/>
      <c r="L684" s="42"/>
      <c r="M684" s="42">
        <f t="shared" si="75"/>
        <v>356386.44067796611</v>
      </c>
      <c r="N684" s="42">
        <v>420536</v>
      </c>
      <c r="O684" s="42"/>
      <c r="P684" s="42">
        <f t="shared" si="71"/>
        <v>356386.44067796611</v>
      </c>
      <c r="Q684" s="42">
        <v>420536</v>
      </c>
    </row>
    <row r="685" spans="1:17" s="4" customFormat="1" ht="36.75" customHeight="1" x14ac:dyDescent="0.25">
      <c r="A685" s="18"/>
      <c r="B685" s="11" t="s">
        <v>984</v>
      </c>
      <c r="C685" s="37" t="s">
        <v>1429</v>
      </c>
      <c r="D685" s="38"/>
      <c r="E685" s="38"/>
      <c r="F685" s="72"/>
      <c r="G685" s="34">
        <v>10040</v>
      </c>
      <c r="H685" s="37" t="s">
        <v>1174</v>
      </c>
      <c r="I685" s="42">
        <f t="shared" si="74"/>
        <v>400127.11864406784</v>
      </c>
      <c r="J685" s="42">
        <v>472150</v>
      </c>
      <c r="K685" s="42"/>
      <c r="L685" s="42"/>
      <c r="M685" s="42">
        <f t="shared" si="75"/>
        <v>400127.11864406784</v>
      </c>
      <c r="N685" s="42">
        <v>472150</v>
      </c>
      <c r="O685" s="42"/>
      <c r="P685" s="42">
        <f t="shared" si="71"/>
        <v>400127.11864406784</v>
      </c>
      <c r="Q685" s="42">
        <v>472150</v>
      </c>
    </row>
    <row r="686" spans="1:17" s="4" customFormat="1" ht="36.75" customHeight="1" x14ac:dyDescent="0.25">
      <c r="A686" s="18"/>
      <c r="B686" s="11" t="s">
        <v>985</v>
      </c>
      <c r="C686" s="37" t="s">
        <v>1430</v>
      </c>
      <c r="D686" s="38"/>
      <c r="E686" s="38"/>
      <c r="F686" s="72"/>
      <c r="G686" s="34">
        <v>9728</v>
      </c>
      <c r="H686" s="37" t="s">
        <v>1062</v>
      </c>
      <c r="I686" s="42">
        <f t="shared" si="74"/>
        <v>22118.644067796613</v>
      </c>
      <c r="J686" s="42">
        <v>26100</v>
      </c>
      <c r="K686" s="42"/>
      <c r="L686" s="42"/>
      <c r="M686" s="42">
        <f t="shared" si="75"/>
        <v>22118.644067796613</v>
      </c>
      <c r="N686" s="42">
        <v>26100</v>
      </c>
      <c r="O686" s="42"/>
      <c r="P686" s="42">
        <f t="shared" si="71"/>
        <v>22118.644067796613</v>
      </c>
      <c r="Q686" s="42">
        <v>26100</v>
      </c>
    </row>
    <row r="687" spans="1:17" s="4" customFormat="1" ht="36.75" customHeight="1" x14ac:dyDescent="0.25">
      <c r="A687" s="18"/>
      <c r="B687" s="11" t="s">
        <v>985</v>
      </c>
      <c r="C687" s="37" t="s">
        <v>1431</v>
      </c>
      <c r="D687" s="38"/>
      <c r="E687" s="38"/>
      <c r="F687" s="72"/>
      <c r="G687" s="34">
        <v>3169</v>
      </c>
      <c r="H687" s="37" t="s">
        <v>1175</v>
      </c>
      <c r="I687" s="42">
        <f t="shared" si="74"/>
        <v>41525.423728813563</v>
      </c>
      <c r="J687" s="42">
        <v>49000</v>
      </c>
      <c r="K687" s="42"/>
      <c r="L687" s="42"/>
      <c r="M687" s="42">
        <f t="shared" si="75"/>
        <v>41525.423728813563</v>
      </c>
      <c r="N687" s="42">
        <v>49000</v>
      </c>
      <c r="O687" s="42"/>
      <c r="P687" s="42">
        <f t="shared" si="71"/>
        <v>41525.423728813563</v>
      </c>
      <c r="Q687" s="42">
        <v>49000</v>
      </c>
    </row>
    <row r="688" spans="1:17" s="4" customFormat="1" ht="36.75" customHeight="1" x14ac:dyDescent="0.25">
      <c r="A688" s="18"/>
      <c r="B688" s="11" t="s">
        <v>985</v>
      </c>
      <c r="C688" s="37" t="s">
        <v>1431</v>
      </c>
      <c r="D688" s="38"/>
      <c r="E688" s="38"/>
      <c r="F688" s="72"/>
      <c r="G688" s="34">
        <v>3264</v>
      </c>
      <c r="H688" s="37" t="s">
        <v>1071</v>
      </c>
      <c r="I688" s="42">
        <f t="shared" si="74"/>
        <v>33898.305084745763</v>
      </c>
      <c r="J688" s="42">
        <v>40000</v>
      </c>
      <c r="K688" s="42"/>
      <c r="L688" s="42"/>
      <c r="M688" s="42">
        <f t="shared" si="75"/>
        <v>33898.305084745763</v>
      </c>
      <c r="N688" s="42">
        <v>40000</v>
      </c>
      <c r="O688" s="42"/>
      <c r="P688" s="42">
        <f t="shared" si="71"/>
        <v>33898.305084745763</v>
      </c>
      <c r="Q688" s="42">
        <v>40000</v>
      </c>
    </row>
    <row r="689" spans="1:17" s="4" customFormat="1" ht="36.75" customHeight="1" x14ac:dyDescent="0.25">
      <c r="A689" s="18"/>
      <c r="B689" s="11" t="s">
        <v>985</v>
      </c>
      <c r="C689" s="37" t="s">
        <v>1431</v>
      </c>
      <c r="D689" s="38"/>
      <c r="E689" s="38"/>
      <c r="F689" s="72"/>
      <c r="G689" s="34">
        <v>3613</v>
      </c>
      <c r="H689" s="37" t="s">
        <v>1073</v>
      </c>
      <c r="I689" s="42">
        <f t="shared" si="74"/>
        <v>33898.305084745763</v>
      </c>
      <c r="J689" s="42">
        <v>40000</v>
      </c>
      <c r="K689" s="42"/>
      <c r="L689" s="42"/>
      <c r="M689" s="42">
        <f t="shared" si="75"/>
        <v>33898.305084745763</v>
      </c>
      <c r="N689" s="42">
        <v>40000</v>
      </c>
      <c r="O689" s="42"/>
      <c r="P689" s="42">
        <f t="shared" si="71"/>
        <v>33898.305084745763</v>
      </c>
      <c r="Q689" s="42">
        <v>40000</v>
      </c>
    </row>
    <row r="690" spans="1:17" s="4" customFormat="1" ht="36.75" customHeight="1" x14ac:dyDescent="0.25">
      <c r="A690" s="18"/>
      <c r="B690" s="11" t="s">
        <v>985</v>
      </c>
      <c r="C690" s="37" t="s">
        <v>1432</v>
      </c>
      <c r="D690" s="38"/>
      <c r="E690" s="38"/>
      <c r="F690" s="72"/>
      <c r="G690" s="34">
        <v>4123</v>
      </c>
      <c r="H690" s="37" t="s">
        <v>1167</v>
      </c>
      <c r="I690" s="42">
        <f t="shared" si="74"/>
        <v>190830.50847457629</v>
      </c>
      <c r="J690" s="42">
        <v>225180</v>
      </c>
      <c r="K690" s="42"/>
      <c r="L690" s="42"/>
      <c r="M690" s="42">
        <f t="shared" si="75"/>
        <v>190830.50847457629</v>
      </c>
      <c r="N690" s="42">
        <v>225180</v>
      </c>
      <c r="O690" s="42"/>
      <c r="P690" s="42">
        <f t="shared" si="71"/>
        <v>190830.50847457629</v>
      </c>
      <c r="Q690" s="42">
        <v>225180</v>
      </c>
    </row>
    <row r="691" spans="1:17" s="4" customFormat="1" ht="36.75" customHeight="1" x14ac:dyDescent="0.25">
      <c r="A691" s="18"/>
      <c r="B691" s="11" t="s">
        <v>985</v>
      </c>
      <c r="C691" s="37" t="s">
        <v>1433</v>
      </c>
      <c r="D691" s="38"/>
      <c r="E691" s="38"/>
      <c r="F691" s="72"/>
      <c r="G691" s="34">
        <v>5524</v>
      </c>
      <c r="H691" s="37" t="s">
        <v>1176</v>
      </c>
      <c r="I691" s="42">
        <f t="shared" si="74"/>
        <v>238983.05084745763</v>
      </c>
      <c r="J691" s="42">
        <v>282000</v>
      </c>
      <c r="K691" s="42"/>
      <c r="L691" s="42"/>
      <c r="M691" s="42">
        <f t="shared" si="75"/>
        <v>238983.05084745763</v>
      </c>
      <c r="N691" s="42">
        <v>282000</v>
      </c>
      <c r="O691" s="42"/>
      <c r="P691" s="42">
        <f t="shared" si="71"/>
        <v>238983.05084745763</v>
      </c>
      <c r="Q691" s="42">
        <v>282000</v>
      </c>
    </row>
    <row r="692" spans="1:17" s="4" customFormat="1" ht="36.75" customHeight="1" x14ac:dyDescent="0.25">
      <c r="A692" s="18"/>
      <c r="B692" s="11" t="s">
        <v>985</v>
      </c>
      <c r="C692" s="37" t="s">
        <v>1434</v>
      </c>
      <c r="D692" s="38"/>
      <c r="E692" s="38"/>
      <c r="F692" s="72"/>
      <c r="G692" s="34">
        <v>5812</v>
      </c>
      <c r="H692" s="37" t="s">
        <v>1168</v>
      </c>
      <c r="I692" s="42">
        <f t="shared" si="74"/>
        <v>83050.847457627126</v>
      </c>
      <c r="J692" s="42">
        <v>98000</v>
      </c>
      <c r="K692" s="42"/>
      <c r="L692" s="42"/>
      <c r="M692" s="42">
        <f t="shared" si="75"/>
        <v>83050.847457627126</v>
      </c>
      <c r="N692" s="42">
        <v>98000</v>
      </c>
      <c r="O692" s="42"/>
      <c r="P692" s="42">
        <f t="shared" si="71"/>
        <v>83050.847457627126</v>
      </c>
      <c r="Q692" s="42">
        <v>98000</v>
      </c>
    </row>
    <row r="693" spans="1:17" s="4" customFormat="1" ht="36.75" customHeight="1" x14ac:dyDescent="0.25">
      <c r="A693" s="18"/>
      <c r="B693" s="11" t="s">
        <v>985</v>
      </c>
      <c r="C693" s="37" t="s">
        <v>1435</v>
      </c>
      <c r="D693" s="38"/>
      <c r="E693" s="38"/>
      <c r="F693" s="72"/>
      <c r="G693" s="34">
        <v>8657</v>
      </c>
      <c r="H693" s="37" t="s">
        <v>1109</v>
      </c>
      <c r="I693" s="42">
        <f t="shared" si="74"/>
        <v>74894.91525423729</v>
      </c>
      <c r="J693" s="42">
        <v>88376</v>
      </c>
      <c r="K693" s="42"/>
      <c r="L693" s="42"/>
      <c r="M693" s="42">
        <f t="shared" si="75"/>
        <v>74894.91525423729</v>
      </c>
      <c r="N693" s="42">
        <v>88376</v>
      </c>
      <c r="O693" s="42"/>
      <c r="P693" s="42">
        <f t="shared" si="71"/>
        <v>74894.91525423729</v>
      </c>
      <c r="Q693" s="42">
        <v>88376</v>
      </c>
    </row>
    <row r="694" spans="1:17" s="4" customFormat="1" ht="36.75" customHeight="1" x14ac:dyDescent="0.25">
      <c r="A694" s="18"/>
      <c r="B694" s="11" t="s">
        <v>985</v>
      </c>
      <c r="C694" s="37" t="s">
        <v>1435</v>
      </c>
      <c r="D694" s="38"/>
      <c r="E694" s="38"/>
      <c r="F694" s="72"/>
      <c r="G694" s="34">
        <v>8744</v>
      </c>
      <c r="H694" s="37" t="s">
        <v>1111</v>
      </c>
      <c r="I694" s="42">
        <f t="shared" si="74"/>
        <v>84745.762711864416</v>
      </c>
      <c r="J694" s="42">
        <v>100000</v>
      </c>
      <c r="K694" s="42"/>
      <c r="L694" s="42"/>
      <c r="M694" s="42">
        <f t="shared" si="75"/>
        <v>84745.762711864416</v>
      </c>
      <c r="N694" s="42">
        <v>100000</v>
      </c>
      <c r="O694" s="42"/>
      <c r="P694" s="42">
        <f t="shared" si="71"/>
        <v>84745.762711864416</v>
      </c>
      <c r="Q694" s="42">
        <v>100000</v>
      </c>
    </row>
    <row r="695" spans="1:17" s="4" customFormat="1" ht="36.75" customHeight="1" x14ac:dyDescent="0.25">
      <c r="A695" s="18"/>
      <c r="B695" s="11" t="s">
        <v>985</v>
      </c>
      <c r="C695" s="37" t="s">
        <v>1436</v>
      </c>
      <c r="D695" s="38"/>
      <c r="E695" s="38"/>
      <c r="F695" s="72"/>
      <c r="G695" s="34">
        <v>3868</v>
      </c>
      <c r="H695" s="37" t="s">
        <v>1177</v>
      </c>
      <c r="I695" s="42">
        <f t="shared" si="74"/>
        <v>61016.949152542373</v>
      </c>
      <c r="J695" s="42">
        <v>72000</v>
      </c>
      <c r="K695" s="42"/>
      <c r="L695" s="42"/>
      <c r="M695" s="42">
        <f t="shared" si="75"/>
        <v>61016.949152542373</v>
      </c>
      <c r="N695" s="42">
        <v>72000</v>
      </c>
      <c r="O695" s="42"/>
      <c r="P695" s="42">
        <f t="shared" si="71"/>
        <v>61016.949152542373</v>
      </c>
      <c r="Q695" s="42">
        <v>72000</v>
      </c>
    </row>
    <row r="696" spans="1:17" s="4" customFormat="1" ht="36.75" customHeight="1" x14ac:dyDescent="0.25">
      <c r="A696" s="18"/>
      <c r="B696" s="11" t="s">
        <v>986</v>
      </c>
      <c r="C696" s="37" t="s">
        <v>1437</v>
      </c>
      <c r="D696" s="38"/>
      <c r="E696" s="38"/>
      <c r="F696" s="72"/>
      <c r="G696" s="34">
        <v>9722</v>
      </c>
      <c r="H696" s="37" t="s">
        <v>1062</v>
      </c>
      <c r="I696" s="42">
        <f t="shared" si="74"/>
        <v>58576.271186440681</v>
      </c>
      <c r="J696" s="42">
        <v>69120</v>
      </c>
      <c r="K696" s="42"/>
      <c r="L696" s="42"/>
      <c r="M696" s="42">
        <f t="shared" si="75"/>
        <v>58576.271186440681</v>
      </c>
      <c r="N696" s="42">
        <v>69120</v>
      </c>
      <c r="O696" s="42"/>
      <c r="P696" s="42">
        <f t="shared" si="71"/>
        <v>58576.271186440681</v>
      </c>
      <c r="Q696" s="42">
        <v>69120</v>
      </c>
    </row>
    <row r="697" spans="1:17" s="4" customFormat="1" ht="36.75" customHeight="1" x14ac:dyDescent="0.25">
      <c r="A697" s="18"/>
      <c r="B697" s="11" t="s">
        <v>986</v>
      </c>
      <c r="C697" s="37" t="s">
        <v>1438</v>
      </c>
      <c r="D697" s="38"/>
      <c r="E697" s="38"/>
      <c r="F697" s="72"/>
      <c r="G697" s="34">
        <v>612</v>
      </c>
      <c r="H697" s="37" t="s">
        <v>1178</v>
      </c>
      <c r="I697" s="42">
        <f t="shared" si="74"/>
        <v>55118.644067796617</v>
      </c>
      <c r="J697" s="42">
        <v>65040</v>
      </c>
      <c r="K697" s="42"/>
      <c r="L697" s="42"/>
      <c r="M697" s="42">
        <f t="shared" si="75"/>
        <v>55118.644067796617</v>
      </c>
      <c r="N697" s="42">
        <v>65040</v>
      </c>
      <c r="O697" s="42"/>
      <c r="P697" s="42">
        <f t="shared" si="71"/>
        <v>55118.644067796617</v>
      </c>
      <c r="Q697" s="42">
        <v>65040</v>
      </c>
    </row>
    <row r="698" spans="1:17" s="4" customFormat="1" ht="36.75" customHeight="1" x14ac:dyDescent="0.25">
      <c r="A698" s="18"/>
      <c r="B698" s="11" t="s">
        <v>986</v>
      </c>
      <c r="C698" s="37" t="s">
        <v>1439</v>
      </c>
      <c r="D698" s="38"/>
      <c r="E698" s="38"/>
      <c r="F698" s="72"/>
      <c r="G698" s="34">
        <v>4999</v>
      </c>
      <c r="H698" s="37" t="s">
        <v>1081</v>
      </c>
      <c r="I698" s="42">
        <f t="shared" si="74"/>
        <v>63559.322033898308</v>
      </c>
      <c r="J698" s="42">
        <v>75000</v>
      </c>
      <c r="K698" s="42"/>
      <c r="L698" s="42"/>
      <c r="M698" s="42">
        <f t="shared" si="75"/>
        <v>63559.322033898308</v>
      </c>
      <c r="N698" s="42">
        <v>75000</v>
      </c>
      <c r="O698" s="42"/>
      <c r="P698" s="42">
        <f t="shared" si="71"/>
        <v>63559.322033898308</v>
      </c>
      <c r="Q698" s="42">
        <v>75000</v>
      </c>
    </row>
    <row r="699" spans="1:17" s="4" customFormat="1" ht="36.75" customHeight="1" x14ac:dyDescent="0.25">
      <c r="A699" s="18"/>
      <c r="B699" s="11" t="s">
        <v>987</v>
      </c>
      <c r="C699" s="37" t="s">
        <v>1440</v>
      </c>
      <c r="D699" s="38"/>
      <c r="E699" s="38"/>
      <c r="F699" s="72"/>
      <c r="G699" s="34">
        <v>9203</v>
      </c>
      <c r="H699" s="37" t="s">
        <v>1058</v>
      </c>
      <c r="I699" s="42">
        <v>53800</v>
      </c>
      <c r="J699" s="42">
        <v>53800</v>
      </c>
      <c r="K699" s="42"/>
      <c r="L699" s="42"/>
      <c r="M699" s="42">
        <v>53800</v>
      </c>
      <c r="N699" s="42">
        <v>53800</v>
      </c>
      <c r="O699" s="42"/>
      <c r="P699" s="42">
        <f t="shared" si="71"/>
        <v>53800</v>
      </c>
      <c r="Q699" s="42">
        <v>53800</v>
      </c>
    </row>
    <row r="700" spans="1:17" s="4" customFormat="1" ht="36.75" customHeight="1" x14ac:dyDescent="0.25">
      <c r="A700" s="18"/>
      <c r="B700" s="11" t="s">
        <v>988</v>
      </c>
      <c r="C700" s="37" t="s">
        <v>1441</v>
      </c>
      <c r="D700" s="38"/>
      <c r="E700" s="38"/>
      <c r="F700" s="72"/>
      <c r="G700" s="34">
        <v>8993</v>
      </c>
      <c r="H700" s="37" t="s">
        <v>1179</v>
      </c>
      <c r="I700" s="42">
        <f>J700/1.18</f>
        <v>32305.084745762713</v>
      </c>
      <c r="J700" s="42">
        <v>38120</v>
      </c>
      <c r="K700" s="42"/>
      <c r="L700" s="42"/>
      <c r="M700" s="42">
        <f>N700/1.18</f>
        <v>32305.084745762713</v>
      </c>
      <c r="N700" s="42">
        <v>38120</v>
      </c>
      <c r="O700" s="42"/>
      <c r="P700" s="42">
        <f t="shared" si="71"/>
        <v>32305.084745762713</v>
      </c>
      <c r="Q700" s="42">
        <v>38120</v>
      </c>
    </row>
    <row r="701" spans="1:17" s="4" customFormat="1" ht="36.75" customHeight="1" x14ac:dyDescent="0.25">
      <c r="A701" s="18"/>
      <c r="B701" s="11" t="s">
        <v>988</v>
      </c>
      <c r="C701" s="37" t="s">
        <v>1442</v>
      </c>
      <c r="D701" s="38"/>
      <c r="E701" s="38"/>
      <c r="F701" s="72"/>
      <c r="G701" s="34">
        <v>3592</v>
      </c>
      <c r="H701" s="37" t="s">
        <v>1072</v>
      </c>
      <c r="I701" s="42">
        <f>J701/1.18</f>
        <v>40381.355932203391</v>
      </c>
      <c r="J701" s="42">
        <v>47650</v>
      </c>
      <c r="K701" s="42"/>
      <c r="L701" s="42"/>
      <c r="M701" s="42">
        <f>N701/1.18</f>
        <v>40381.355932203391</v>
      </c>
      <c r="N701" s="42">
        <v>47650</v>
      </c>
      <c r="O701" s="42"/>
      <c r="P701" s="42">
        <f t="shared" si="71"/>
        <v>40381.355932203391</v>
      </c>
      <c r="Q701" s="42">
        <v>47650</v>
      </c>
    </row>
    <row r="702" spans="1:17" s="4" customFormat="1" ht="36.75" customHeight="1" x14ac:dyDescent="0.25">
      <c r="A702" s="18"/>
      <c r="B702" s="11" t="s">
        <v>989</v>
      </c>
      <c r="C702" s="37" t="s">
        <v>1443</v>
      </c>
      <c r="D702" s="38"/>
      <c r="E702" s="38"/>
      <c r="F702" s="72"/>
      <c r="G702" s="34">
        <v>8561</v>
      </c>
      <c r="H702" s="37" t="s">
        <v>1180</v>
      </c>
      <c r="I702" s="42">
        <f t="shared" ref="I702:I736" si="76">J702/1.18</f>
        <v>63457.627118644072</v>
      </c>
      <c r="J702" s="42">
        <v>74880</v>
      </c>
      <c r="K702" s="42"/>
      <c r="L702" s="42"/>
      <c r="M702" s="42">
        <f t="shared" ref="M702:M736" si="77">N702/1.18</f>
        <v>63457.627118644072</v>
      </c>
      <c r="N702" s="42">
        <v>74880</v>
      </c>
      <c r="O702" s="42"/>
      <c r="P702" s="42">
        <f t="shared" si="71"/>
        <v>63457.627118644072</v>
      </c>
      <c r="Q702" s="42">
        <v>74880</v>
      </c>
    </row>
    <row r="703" spans="1:17" s="4" customFormat="1" ht="36.75" customHeight="1" x14ac:dyDescent="0.25">
      <c r="A703" s="18"/>
      <c r="B703" s="11" t="s">
        <v>989</v>
      </c>
      <c r="C703" s="37" t="s">
        <v>1443</v>
      </c>
      <c r="D703" s="38"/>
      <c r="E703" s="38"/>
      <c r="F703" s="72"/>
      <c r="G703" s="34">
        <v>8563</v>
      </c>
      <c r="H703" s="37" t="s">
        <v>1181</v>
      </c>
      <c r="I703" s="42">
        <f t="shared" si="76"/>
        <v>63457.627118644072</v>
      </c>
      <c r="J703" s="42">
        <v>74880</v>
      </c>
      <c r="K703" s="42"/>
      <c r="L703" s="42"/>
      <c r="M703" s="42">
        <f t="shared" si="77"/>
        <v>63457.627118644072</v>
      </c>
      <c r="N703" s="42">
        <v>74880</v>
      </c>
      <c r="O703" s="42"/>
      <c r="P703" s="42">
        <f t="shared" si="71"/>
        <v>63457.627118644072</v>
      </c>
      <c r="Q703" s="42">
        <v>74880</v>
      </c>
    </row>
    <row r="704" spans="1:17" s="4" customFormat="1" ht="36.75" customHeight="1" x14ac:dyDescent="0.25">
      <c r="A704" s="18"/>
      <c r="B704" s="11" t="s">
        <v>990</v>
      </c>
      <c r="C704" s="37" t="s">
        <v>1444</v>
      </c>
      <c r="D704" s="38"/>
      <c r="E704" s="38"/>
      <c r="F704" s="72"/>
      <c r="G704" s="34">
        <v>8143</v>
      </c>
      <c r="H704" s="37" t="s">
        <v>1182</v>
      </c>
      <c r="I704" s="42">
        <f t="shared" si="76"/>
        <v>65254.237288135599</v>
      </c>
      <c r="J704" s="42">
        <v>77000</v>
      </c>
      <c r="K704" s="42"/>
      <c r="L704" s="42"/>
      <c r="M704" s="42">
        <f t="shared" si="77"/>
        <v>65254.237288135599</v>
      </c>
      <c r="N704" s="42">
        <v>77000</v>
      </c>
      <c r="O704" s="42"/>
      <c r="P704" s="42">
        <f t="shared" si="71"/>
        <v>65254.237288135599</v>
      </c>
      <c r="Q704" s="42">
        <v>77000</v>
      </c>
    </row>
    <row r="705" spans="1:17" s="4" customFormat="1" ht="36.75" customHeight="1" x14ac:dyDescent="0.25">
      <c r="A705" s="18"/>
      <c r="B705" s="11" t="s">
        <v>991</v>
      </c>
      <c r="C705" s="37" t="s">
        <v>1445</v>
      </c>
      <c r="D705" s="38"/>
      <c r="E705" s="38"/>
      <c r="F705" s="72"/>
      <c r="G705" s="34">
        <v>151</v>
      </c>
      <c r="H705" s="37" t="s">
        <v>1183</v>
      </c>
      <c r="I705" s="42">
        <f t="shared" si="76"/>
        <v>46610.169491525427</v>
      </c>
      <c r="J705" s="42">
        <v>55000</v>
      </c>
      <c r="K705" s="42"/>
      <c r="L705" s="42"/>
      <c r="M705" s="42">
        <f t="shared" si="77"/>
        <v>46610.169491525427</v>
      </c>
      <c r="N705" s="42">
        <v>55000</v>
      </c>
      <c r="O705" s="42"/>
      <c r="P705" s="42">
        <f t="shared" si="71"/>
        <v>46610.169491525427</v>
      </c>
      <c r="Q705" s="42">
        <v>55000</v>
      </c>
    </row>
    <row r="706" spans="1:17" s="4" customFormat="1" ht="36.75" customHeight="1" x14ac:dyDescent="0.25">
      <c r="A706" s="18"/>
      <c r="B706" s="11" t="s">
        <v>991</v>
      </c>
      <c r="C706" s="37" t="s">
        <v>1446</v>
      </c>
      <c r="D706" s="38"/>
      <c r="E706" s="38"/>
      <c r="F706" s="72"/>
      <c r="G706" s="34">
        <v>291</v>
      </c>
      <c r="H706" s="37" t="s">
        <v>1184</v>
      </c>
      <c r="I706" s="42">
        <f t="shared" si="76"/>
        <v>38135.593220338982</v>
      </c>
      <c r="J706" s="42">
        <v>45000</v>
      </c>
      <c r="K706" s="42"/>
      <c r="L706" s="42"/>
      <c r="M706" s="42">
        <f t="shared" si="77"/>
        <v>38135.593220338982</v>
      </c>
      <c r="N706" s="42">
        <v>45000</v>
      </c>
      <c r="O706" s="42"/>
      <c r="P706" s="42">
        <f t="shared" si="71"/>
        <v>38135.593220338982</v>
      </c>
      <c r="Q706" s="42">
        <v>45000</v>
      </c>
    </row>
    <row r="707" spans="1:17" s="4" customFormat="1" ht="36.75" customHeight="1" x14ac:dyDescent="0.25">
      <c r="A707" s="18"/>
      <c r="B707" s="11" t="s">
        <v>991</v>
      </c>
      <c r="C707" s="37" t="s">
        <v>1447</v>
      </c>
      <c r="D707" s="38"/>
      <c r="E707" s="38"/>
      <c r="F707" s="72"/>
      <c r="G707" s="34">
        <v>502</v>
      </c>
      <c r="H707" s="37" t="s">
        <v>1185</v>
      </c>
      <c r="I707" s="42">
        <f t="shared" si="76"/>
        <v>38135.593220338982</v>
      </c>
      <c r="J707" s="42">
        <v>45000</v>
      </c>
      <c r="K707" s="42"/>
      <c r="L707" s="42"/>
      <c r="M707" s="42">
        <f t="shared" si="77"/>
        <v>38135.593220338982</v>
      </c>
      <c r="N707" s="42">
        <v>45000</v>
      </c>
      <c r="O707" s="42"/>
      <c r="P707" s="42">
        <f t="shared" si="71"/>
        <v>38135.593220338982</v>
      </c>
      <c r="Q707" s="42">
        <v>45000</v>
      </c>
    </row>
    <row r="708" spans="1:17" s="4" customFormat="1" ht="36.75" customHeight="1" x14ac:dyDescent="0.25">
      <c r="A708" s="18"/>
      <c r="B708" s="11" t="s">
        <v>992</v>
      </c>
      <c r="C708" s="37" t="s">
        <v>1448</v>
      </c>
      <c r="D708" s="38"/>
      <c r="E708" s="38"/>
      <c r="F708" s="72"/>
      <c r="G708" s="34">
        <v>696</v>
      </c>
      <c r="H708" s="37" t="s">
        <v>1186</v>
      </c>
      <c r="I708" s="42">
        <f t="shared" si="76"/>
        <v>38135.593220338982</v>
      </c>
      <c r="J708" s="42">
        <v>45000</v>
      </c>
      <c r="K708" s="42"/>
      <c r="L708" s="42"/>
      <c r="M708" s="42">
        <f t="shared" si="77"/>
        <v>38135.593220338982</v>
      </c>
      <c r="N708" s="42">
        <v>45000</v>
      </c>
      <c r="O708" s="42"/>
      <c r="P708" s="42">
        <f t="shared" si="71"/>
        <v>38135.593220338982</v>
      </c>
      <c r="Q708" s="42">
        <v>45000</v>
      </c>
    </row>
    <row r="709" spans="1:17" s="4" customFormat="1" ht="36.75" customHeight="1" x14ac:dyDescent="0.25">
      <c r="A709" s="18"/>
      <c r="B709" s="11" t="s">
        <v>992</v>
      </c>
      <c r="C709" s="37" t="s">
        <v>1449</v>
      </c>
      <c r="D709" s="38"/>
      <c r="E709" s="38"/>
      <c r="F709" s="72"/>
      <c r="G709" s="34">
        <v>838</v>
      </c>
      <c r="H709" s="37" t="s">
        <v>1187</v>
      </c>
      <c r="I709" s="42">
        <f t="shared" si="76"/>
        <v>38135.593220338982</v>
      </c>
      <c r="J709" s="42">
        <v>45000</v>
      </c>
      <c r="K709" s="42"/>
      <c r="L709" s="42"/>
      <c r="M709" s="42">
        <f t="shared" si="77"/>
        <v>38135.593220338982</v>
      </c>
      <c r="N709" s="42">
        <v>45000</v>
      </c>
      <c r="O709" s="42"/>
      <c r="P709" s="42">
        <f t="shared" si="71"/>
        <v>38135.593220338982</v>
      </c>
      <c r="Q709" s="42">
        <v>45000</v>
      </c>
    </row>
    <row r="710" spans="1:17" s="4" customFormat="1" ht="36.75" customHeight="1" x14ac:dyDescent="0.25">
      <c r="A710" s="18"/>
      <c r="B710" s="11" t="s">
        <v>991</v>
      </c>
      <c r="C710" s="37" t="s">
        <v>1450</v>
      </c>
      <c r="D710" s="38"/>
      <c r="E710" s="38"/>
      <c r="F710" s="72"/>
      <c r="G710" s="34">
        <v>1160</v>
      </c>
      <c r="H710" s="37" t="s">
        <v>1188</v>
      </c>
      <c r="I710" s="42">
        <f t="shared" si="76"/>
        <v>38135.593220338982</v>
      </c>
      <c r="J710" s="42">
        <v>45000</v>
      </c>
      <c r="K710" s="42"/>
      <c r="L710" s="42"/>
      <c r="M710" s="42">
        <f t="shared" si="77"/>
        <v>38135.593220338982</v>
      </c>
      <c r="N710" s="42">
        <v>45000</v>
      </c>
      <c r="O710" s="42"/>
      <c r="P710" s="42">
        <f t="shared" si="71"/>
        <v>38135.593220338982</v>
      </c>
      <c r="Q710" s="42">
        <v>45000</v>
      </c>
    </row>
    <row r="711" spans="1:17" s="4" customFormat="1" ht="36.75" customHeight="1" x14ac:dyDescent="0.25">
      <c r="A711" s="18"/>
      <c r="B711" s="11" t="s">
        <v>991</v>
      </c>
      <c r="C711" s="37" t="s">
        <v>1451</v>
      </c>
      <c r="D711" s="38"/>
      <c r="E711" s="38"/>
      <c r="F711" s="72"/>
      <c r="G711" s="34">
        <v>1391</v>
      </c>
      <c r="H711" s="37" t="s">
        <v>1189</v>
      </c>
      <c r="I711" s="42">
        <f t="shared" si="76"/>
        <v>38135.593220338982</v>
      </c>
      <c r="J711" s="42">
        <v>45000</v>
      </c>
      <c r="K711" s="42"/>
      <c r="L711" s="42"/>
      <c r="M711" s="42">
        <f t="shared" si="77"/>
        <v>38135.593220338982</v>
      </c>
      <c r="N711" s="42">
        <v>45000</v>
      </c>
      <c r="O711" s="42"/>
      <c r="P711" s="42">
        <f t="shared" si="71"/>
        <v>38135.593220338982</v>
      </c>
      <c r="Q711" s="42">
        <v>45000</v>
      </c>
    </row>
    <row r="712" spans="1:17" s="4" customFormat="1" ht="36.75" customHeight="1" x14ac:dyDescent="0.25">
      <c r="A712" s="18"/>
      <c r="B712" s="11" t="s">
        <v>992</v>
      </c>
      <c r="C712" s="37" t="s">
        <v>1452</v>
      </c>
      <c r="D712" s="38"/>
      <c r="E712" s="38"/>
      <c r="F712" s="72"/>
      <c r="G712" s="34">
        <v>1608</v>
      </c>
      <c r="H712" s="37" t="s">
        <v>1190</v>
      </c>
      <c r="I712" s="42">
        <f t="shared" si="76"/>
        <v>38135.593220338982</v>
      </c>
      <c r="J712" s="42">
        <v>45000</v>
      </c>
      <c r="K712" s="42"/>
      <c r="L712" s="42"/>
      <c r="M712" s="42">
        <f t="shared" si="77"/>
        <v>38135.593220338982</v>
      </c>
      <c r="N712" s="42">
        <v>45000</v>
      </c>
      <c r="O712" s="42"/>
      <c r="P712" s="42">
        <f t="shared" si="71"/>
        <v>38135.593220338982</v>
      </c>
      <c r="Q712" s="42">
        <v>45000</v>
      </c>
    </row>
    <row r="713" spans="1:17" s="4" customFormat="1" ht="36.75" customHeight="1" x14ac:dyDescent="0.25">
      <c r="A713" s="18"/>
      <c r="B713" s="11" t="s">
        <v>991</v>
      </c>
      <c r="C713" s="37" t="s">
        <v>1453</v>
      </c>
      <c r="D713" s="38"/>
      <c r="E713" s="38"/>
      <c r="F713" s="72"/>
      <c r="G713" s="34">
        <v>1854</v>
      </c>
      <c r="H713" s="37" t="s">
        <v>1191</v>
      </c>
      <c r="I713" s="42">
        <f t="shared" si="76"/>
        <v>38135.593220338982</v>
      </c>
      <c r="J713" s="42">
        <v>45000</v>
      </c>
      <c r="K713" s="42"/>
      <c r="L713" s="42"/>
      <c r="M713" s="42">
        <f t="shared" si="77"/>
        <v>38135.593220338982</v>
      </c>
      <c r="N713" s="42">
        <v>45000</v>
      </c>
      <c r="O713" s="42"/>
      <c r="P713" s="42">
        <f t="shared" si="71"/>
        <v>38135.593220338982</v>
      </c>
      <c r="Q713" s="42">
        <v>45000</v>
      </c>
    </row>
    <row r="714" spans="1:17" s="4" customFormat="1" ht="36.75" customHeight="1" x14ac:dyDescent="0.25">
      <c r="A714" s="18"/>
      <c r="B714" s="11" t="s">
        <v>991</v>
      </c>
      <c r="C714" s="37" t="s">
        <v>1454</v>
      </c>
      <c r="D714" s="38"/>
      <c r="E714" s="38"/>
      <c r="F714" s="72"/>
      <c r="G714" s="34">
        <v>2018</v>
      </c>
      <c r="H714" s="37" t="s">
        <v>1192</v>
      </c>
      <c r="I714" s="42">
        <f t="shared" si="76"/>
        <v>38135.593220338982</v>
      </c>
      <c r="J714" s="42">
        <v>45000</v>
      </c>
      <c r="K714" s="42"/>
      <c r="L714" s="42"/>
      <c r="M714" s="42">
        <f t="shared" si="77"/>
        <v>38135.593220338982</v>
      </c>
      <c r="N714" s="42">
        <v>45000</v>
      </c>
      <c r="O714" s="42"/>
      <c r="P714" s="42">
        <f t="shared" si="71"/>
        <v>38135.593220338982</v>
      </c>
      <c r="Q714" s="42">
        <v>45000</v>
      </c>
    </row>
    <row r="715" spans="1:17" s="4" customFormat="1" ht="36.75" customHeight="1" x14ac:dyDescent="0.25">
      <c r="A715" s="18"/>
      <c r="B715" s="11" t="s">
        <v>992</v>
      </c>
      <c r="C715" s="37" t="s">
        <v>1455</v>
      </c>
      <c r="D715" s="38"/>
      <c r="E715" s="38"/>
      <c r="F715" s="72"/>
      <c r="G715" s="34">
        <v>2288</v>
      </c>
      <c r="H715" s="37" t="s">
        <v>1193</v>
      </c>
      <c r="I715" s="42">
        <f t="shared" si="76"/>
        <v>38135.593220338982</v>
      </c>
      <c r="J715" s="42">
        <v>45000</v>
      </c>
      <c r="K715" s="42"/>
      <c r="L715" s="42"/>
      <c r="M715" s="42">
        <f t="shared" si="77"/>
        <v>38135.593220338982</v>
      </c>
      <c r="N715" s="42">
        <v>45000</v>
      </c>
      <c r="O715" s="42"/>
      <c r="P715" s="42">
        <f t="shared" si="71"/>
        <v>38135.593220338982</v>
      </c>
      <c r="Q715" s="42">
        <v>45000</v>
      </c>
    </row>
    <row r="716" spans="1:17" s="4" customFormat="1" ht="36.75" customHeight="1" x14ac:dyDescent="0.25">
      <c r="A716" s="18"/>
      <c r="B716" s="11" t="s">
        <v>991</v>
      </c>
      <c r="C716" s="37" t="s">
        <v>1456</v>
      </c>
      <c r="D716" s="38"/>
      <c r="E716" s="38"/>
      <c r="F716" s="72"/>
      <c r="G716" s="34">
        <v>3251</v>
      </c>
      <c r="H716" s="37" t="s">
        <v>1194</v>
      </c>
      <c r="I716" s="42">
        <f t="shared" si="76"/>
        <v>38135.593220338982</v>
      </c>
      <c r="J716" s="42">
        <v>45000</v>
      </c>
      <c r="K716" s="42"/>
      <c r="L716" s="42"/>
      <c r="M716" s="42">
        <f t="shared" si="77"/>
        <v>38135.593220338982</v>
      </c>
      <c r="N716" s="42">
        <v>45000</v>
      </c>
      <c r="O716" s="42"/>
      <c r="P716" s="42">
        <f t="shared" si="71"/>
        <v>38135.593220338982</v>
      </c>
      <c r="Q716" s="42">
        <v>45000</v>
      </c>
    </row>
    <row r="717" spans="1:17" s="4" customFormat="1" ht="36.75" customHeight="1" x14ac:dyDescent="0.25">
      <c r="A717" s="18"/>
      <c r="B717" s="11" t="s">
        <v>992</v>
      </c>
      <c r="C717" s="37" t="s">
        <v>1457</v>
      </c>
      <c r="D717" s="38"/>
      <c r="E717" s="38"/>
      <c r="F717" s="72"/>
      <c r="G717" s="34">
        <v>3942</v>
      </c>
      <c r="H717" s="37" t="s">
        <v>1195</v>
      </c>
      <c r="I717" s="42">
        <f t="shared" si="76"/>
        <v>38135.593220338982</v>
      </c>
      <c r="J717" s="42">
        <v>45000</v>
      </c>
      <c r="K717" s="42"/>
      <c r="L717" s="42"/>
      <c r="M717" s="42">
        <f t="shared" si="77"/>
        <v>38135.593220338982</v>
      </c>
      <c r="N717" s="42">
        <v>45000</v>
      </c>
      <c r="O717" s="42"/>
      <c r="P717" s="42">
        <f t="shared" si="71"/>
        <v>38135.593220338982</v>
      </c>
      <c r="Q717" s="42">
        <v>45000</v>
      </c>
    </row>
    <row r="718" spans="1:17" s="4" customFormat="1" ht="36.75" customHeight="1" x14ac:dyDescent="0.25">
      <c r="A718" s="18"/>
      <c r="B718" s="11" t="s">
        <v>991</v>
      </c>
      <c r="C718" s="37" t="s">
        <v>1458</v>
      </c>
      <c r="D718" s="38"/>
      <c r="E718" s="38"/>
      <c r="F718" s="72"/>
      <c r="G718" s="34">
        <v>6069</v>
      </c>
      <c r="H718" s="37" t="s">
        <v>1196</v>
      </c>
      <c r="I718" s="42">
        <f t="shared" si="76"/>
        <v>38135.593220338982</v>
      </c>
      <c r="J718" s="42">
        <v>45000</v>
      </c>
      <c r="K718" s="42"/>
      <c r="L718" s="42"/>
      <c r="M718" s="42">
        <f t="shared" si="77"/>
        <v>38135.593220338982</v>
      </c>
      <c r="N718" s="42">
        <v>45000</v>
      </c>
      <c r="O718" s="42"/>
      <c r="P718" s="42">
        <f t="shared" si="71"/>
        <v>38135.593220338982</v>
      </c>
      <c r="Q718" s="42">
        <v>45000</v>
      </c>
    </row>
    <row r="719" spans="1:17" s="4" customFormat="1" ht="36.75" customHeight="1" x14ac:dyDescent="0.25">
      <c r="A719" s="18"/>
      <c r="B719" s="11" t="s">
        <v>991</v>
      </c>
      <c r="C719" s="37" t="s">
        <v>1459</v>
      </c>
      <c r="D719" s="38"/>
      <c r="E719" s="38"/>
      <c r="F719" s="72"/>
      <c r="G719" s="34">
        <v>7261</v>
      </c>
      <c r="H719" s="37" t="s">
        <v>1197</v>
      </c>
      <c r="I719" s="42">
        <f t="shared" si="76"/>
        <v>38135.593220338982</v>
      </c>
      <c r="J719" s="42">
        <v>45000</v>
      </c>
      <c r="K719" s="42"/>
      <c r="L719" s="42"/>
      <c r="M719" s="42">
        <f t="shared" si="77"/>
        <v>38135.593220338982</v>
      </c>
      <c r="N719" s="42">
        <v>45000</v>
      </c>
      <c r="O719" s="42"/>
      <c r="P719" s="42">
        <f t="shared" si="71"/>
        <v>38135.593220338982</v>
      </c>
      <c r="Q719" s="42">
        <v>45000</v>
      </c>
    </row>
    <row r="720" spans="1:17" s="4" customFormat="1" ht="36.75" customHeight="1" x14ac:dyDescent="0.25">
      <c r="A720" s="18"/>
      <c r="B720" s="11" t="s">
        <v>991</v>
      </c>
      <c r="C720" s="37" t="s">
        <v>1460</v>
      </c>
      <c r="D720" s="38"/>
      <c r="E720" s="38"/>
      <c r="F720" s="72"/>
      <c r="G720" s="34">
        <v>8836</v>
      </c>
      <c r="H720" s="37" t="s">
        <v>1198</v>
      </c>
      <c r="I720" s="42">
        <f t="shared" si="76"/>
        <v>46610.169491525427</v>
      </c>
      <c r="J720" s="42">
        <v>55000</v>
      </c>
      <c r="K720" s="42"/>
      <c r="L720" s="42"/>
      <c r="M720" s="42">
        <f t="shared" si="77"/>
        <v>46610.169491525427</v>
      </c>
      <c r="N720" s="42">
        <v>55000</v>
      </c>
      <c r="O720" s="42"/>
      <c r="P720" s="42">
        <f t="shared" si="71"/>
        <v>46610.169491525427</v>
      </c>
      <c r="Q720" s="42">
        <v>55000</v>
      </c>
    </row>
    <row r="721" spans="1:17" s="4" customFormat="1" ht="36.75" customHeight="1" x14ac:dyDescent="0.25">
      <c r="A721" s="18"/>
      <c r="B721" s="11" t="s">
        <v>991</v>
      </c>
      <c r="C721" s="37" t="s">
        <v>1461</v>
      </c>
      <c r="D721" s="38"/>
      <c r="E721" s="38"/>
      <c r="F721" s="72"/>
      <c r="G721" s="34">
        <v>964</v>
      </c>
      <c r="H721" s="37" t="s">
        <v>1199</v>
      </c>
      <c r="I721" s="42">
        <f t="shared" si="76"/>
        <v>38135.593220338982</v>
      </c>
      <c r="J721" s="42">
        <v>45000</v>
      </c>
      <c r="K721" s="42"/>
      <c r="L721" s="42"/>
      <c r="M721" s="42">
        <f t="shared" si="77"/>
        <v>38135.593220338982</v>
      </c>
      <c r="N721" s="42">
        <v>45000</v>
      </c>
      <c r="O721" s="42"/>
      <c r="P721" s="42">
        <f t="shared" si="71"/>
        <v>38135.593220338982</v>
      </c>
      <c r="Q721" s="42">
        <v>45000</v>
      </c>
    </row>
    <row r="722" spans="1:17" s="4" customFormat="1" ht="36.75" customHeight="1" x14ac:dyDescent="0.25">
      <c r="A722" s="18"/>
      <c r="B722" s="11" t="s">
        <v>993</v>
      </c>
      <c r="C722" s="37" t="s">
        <v>1462</v>
      </c>
      <c r="D722" s="38"/>
      <c r="E722" s="38"/>
      <c r="F722" s="72"/>
      <c r="G722" s="34">
        <v>3774</v>
      </c>
      <c r="H722" s="37" t="s">
        <v>1200</v>
      </c>
      <c r="I722" s="42">
        <f t="shared" si="76"/>
        <v>6762.7118644067796</v>
      </c>
      <c r="J722" s="42">
        <v>7980</v>
      </c>
      <c r="K722" s="42"/>
      <c r="L722" s="42"/>
      <c r="M722" s="42">
        <f t="shared" si="77"/>
        <v>6762.7118644067796</v>
      </c>
      <c r="N722" s="42">
        <v>7980</v>
      </c>
      <c r="O722" s="42"/>
      <c r="P722" s="42">
        <f t="shared" si="71"/>
        <v>6762.7118644067796</v>
      </c>
      <c r="Q722" s="42">
        <v>7980</v>
      </c>
    </row>
    <row r="723" spans="1:17" s="4" customFormat="1" ht="36.75" customHeight="1" x14ac:dyDescent="0.25">
      <c r="A723" s="18"/>
      <c r="B723" s="11" t="s">
        <v>994</v>
      </c>
      <c r="C723" s="37" t="s">
        <v>1463</v>
      </c>
      <c r="D723" s="38"/>
      <c r="E723" s="38"/>
      <c r="F723" s="72"/>
      <c r="G723" s="34">
        <v>7005</v>
      </c>
      <c r="H723" s="37" t="s">
        <v>1201</v>
      </c>
      <c r="I723" s="42">
        <f t="shared" si="76"/>
        <v>51101.694915254237</v>
      </c>
      <c r="J723" s="42">
        <v>60300</v>
      </c>
      <c r="K723" s="42"/>
      <c r="L723" s="42"/>
      <c r="M723" s="42">
        <f t="shared" si="77"/>
        <v>51101.694915254237</v>
      </c>
      <c r="N723" s="42">
        <v>60300</v>
      </c>
      <c r="O723" s="42"/>
      <c r="P723" s="42">
        <f t="shared" si="71"/>
        <v>51101.694915254237</v>
      </c>
      <c r="Q723" s="42">
        <v>60300</v>
      </c>
    </row>
    <row r="724" spans="1:17" s="4" customFormat="1" ht="36.75" customHeight="1" x14ac:dyDescent="0.25">
      <c r="A724" s="18"/>
      <c r="B724" s="11" t="s">
        <v>994</v>
      </c>
      <c r="C724" s="37" t="s">
        <v>1464</v>
      </c>
      <c r="D724" s="38"/>
      <c r="E724" s="38"/>
      <c r="F724" s="72"/>
      <c r="G724" s="34">
        <v>3043</v>
      </c>
      <c r="H724" s="37" t="s">
        <v>1202</v>
      </c>
      <c r="I724" s="42">
        <f t="shared" si="76"/>
        <v>113550.84745762713</v>
      </c>
      <c r="J724" s="42">
        <v>133990</v>
      </c>
      <c r="K724" s="42"/>
      <c r="L724" s="42"/>
      <c r="M724" s="42">
        <f t="shared" si="77"/>
        <v>113550.84745762713</v>
      </c>
      <c r="N724" s="42">
        <v>133990</v>
      </c>
      <c r="O724" s="42"/>
      <c r="P724" s="42">
        <f t="shared" si="71"/>
        <v>113550.84745762713</v>
      </c>
      <c r="Q724" s="42">
        <v>133990</v>
      </c>
    </row>
    <row r="725" spans="1:17" s="4" customFormat="1" ht="36.75" customHeight="1" x14ac:dyDescent="0.25">
      <c r="A725" s="18"/>
      <c r="B725" s="11" t="s">
        <v>995</v>
      </c>
      <c r="C725" s="37" t="s">
        <v>1465</v>
      </c>
      <c r="D725" s="38"/>
      <c r="E725" s="38"/>
      <c r="F725" s="72"/>
      <c r="G725" s="34">
        <v>6590</v>
      </c>
      <c r="H725" s="37" t="s">
        <v>1203</v>
      </c>
      <c r="I725" s="42">
        <f t="shared" si="76"/>
        <v>137966.10169491527</v>
      </c>
      <c r="J725" s="42">
        <v>162800</v>
      </c>
      <c r="K725" s="42"/>
      <c r="L725" s="42"/>
      <c r="M725" s="42">
        <f t="shared" si="77"/>
        <v>137966.10169491527</v>
      </c>
      <c r="N725" s="42">
        <v>162800</v>
      </c>
      <c r="O725" s="42"/>
      <c r="P725" s="42">
        <f t="shared" si="71"/>
        <v>137966.10169491527</v>
      </c>
      <c r="Q725" s="42">
        <v>162800</v>
      </c>
    </row>
    <row r="726" spans="1:17" s="4" customFormat="1" ht="36.75" customHeight="1" x14ac:dyDescent="0.25">
      <c r="A726" s="18"/>
      <c r="B726" s="11" t="s">
        <v>995</v>
      </c>
      <c r="C726" s="37" t="s">
        <v>1465</v>
      </c>
      <c r="D726" s="38"/>
      <c r="E726" s="38"/>
      <c r="F726" s="72"/>
      <c r="G726" s="34">
        <v>6808</v>
      </c>
      <c r="H726" s="37" t="s">
        <v>1055</v>
      </c>
      <c r="I726" s="42">
        <f t="shared" si="76"/>
        <v>137966.10169491527</v>
      </c>
      <c r="J726" s="42">
        <v>162800</v>
      </c>
      <c r="K726" s="42"/>
      <c r="L726" s="42"/>
      <c r="M726" s="42">
        <f t="shared" si="77"/>
        <v>137966.10169491527</v>
      </c>
      <c r="N726" s="42">
        <v>162800</v>
      </c>
      <c r="O726" s="42"/>
      <c r="P726" s="42">
        <f t="shared" ref="P726:P789" si="78">M726</f>
        <v>137966.10169491527</v>
      </c>
      <c r="Q726" s="42">
        <v>162800</v>
      </c>
    </row>
    <row r="727" spans="1:17" s="4" customFormat="1" ht="36.75" customHeight="1" x14ac:dyDescent="0.25">
      <c r="A727" s="18"/>
      <c r="B727" s="11" t="s">
        <v>995</v>
      </c>
      <c r="C727" s="37" t="s">
        <v>1466</v>
      </c>
      <c r="D727" s="38"/>
      <c r="E727" s="38"/>
      <c r="F727" s="72"/>
      <c r="G727" s="34">
        <v>8450</v>
      </c>
      <c r="H727" s="37" t="s">
        <v>1204</v>
      </c>
      <c r="I727" s="42">
        <f t="shared" si="76"/>
        <v>72245.762711864416</v>
      </c>
      <c r="J727" s="42">
        <v>85250</v>
      </c>
      <c r="K727" s="42"/>
      <c r="L727" s="42"/>
      <c r="M727" s="42">
        <f t="shared" si="77"/>
        <v>72245.762711864416</v>
      </c>
      <c r="N727" s="42">
        <v>85250</v>
      </c>
      <c r="O727" s="42"/>
      <c r="P727" s="42">
        <f t="shared" si="78"/>
        <v>72245.762711864416</v>
      </c>
      <c r="Q727" s="42">
        <v>85250</v>
      </c>
    </row>
    <row r="728" spans="1:17" s="4" customFormat="1" ht="36.75" customHeight="1" x14ac:dyDescent="0.25">
      <c r="A728" s="18"/>
      <c r="B728" s="11" t="s">
        <v>996</v>
      </c>
      <c r="C728" s="37" t="s">
        <v>1467</v>
      </c>
      <c r="D728" s="38"/>
      <c r="E728" s="38"/>
      <c r="F728" s="72"/>
      <c r="G728" s="34">
        <v>6371</v>
      </c>
      <c r="H728" s="37" t="s">
        <v>1205</v>
      </c>
      <c r="I728" s="42">
        <f t="shared" si="76"/>
        <v>250028.81355932204</v>
      </c>
      <c r="J728" s="42">
        <v>295034</v>
      </c>
      <c r="K728" s="42"/>
      <c r="L728" s="42"/>
      <c r="M728" s="42">
        <f t="shared" si="77"/>
        <v>250028.81355932204</v>
      </c>
      <c r="N728" s="42">
        <v>295034</v>
      </c>
      <c r="O728" s="42"/>
      <c r="P728" s="42">
        <f t="shared" si="78"/>
        <v>250028.81355932204</v>
      </c>
      <c r="Q728" s="42">
        <v>295034</v>
      </c>
    </row>
    <row r="729" spans="1:17" s="4" customFormat="1" ht="36.75" customHeight="1" x14ac:dyDescent="0.25">
      <c r="A729" s="18"/>
      <c r="B729" s="11" t="s">
        <v>996</v>
      </c>
      <c r="C729" s="37" t="s">
        <v>1468</v>
      </c>
      <c r="D729" s="38"/>
      <c r="E729" s="38"/>
      <c r="F729" s="72"/>
      <c r="G729" s="34">
        <v>710</v>
      </c>
      <c r="H729" s="37" t="s">
        <v>1206</v>
      </c>
      <c r="I729" s="42">
        <f t="shared" si="76"/>
        <v>105697.45762711865</v>
      </c>
      <c r="J729" s="42">
        <v>124723</v>
      </c>
      <c r="K729" s="42"/>
      <c r="L729" s="42"/>
      <c r="M729" s="42">
        <f t="shared" si="77"/>
        <v>105697.45762711865</v>
      </c>
      <c r="N729" s="42">
        <v>124723</v>
      </c>
      <c r="O729" s="42"/>
      <c r="P729" s="42">
        <f t="shared" si="78"/>
        <v>105697.45762711865</v>
      </c>
      <c r="Q729" s="42">
        <v>124723</v>
      </c>
    </row>
    <row r="730" spans="1:17" s="4" customFormat="1" ht="36.75" customHeight="1" x14ac:dyDescent="0.25">
      <c r="A730" s="18"/>
      <c r="B730" s="11" t="s">
        <v>997</v>
      </c>
      <c r="C730" s="37" t="s">
        <v>1469</v>
      </c>
      <c r="D730" s="38"/>
      <c r="E730" s="38"/>
      <c r="F730" s="72"/>
      <c r="G730" s="34">
        <v>6338</v>
      </c>
      <c r="H730" s="37" t="s">
        <v>1207</v>
      </c>
      <c r="I730" s="42">
        <f t="shared" si="76"/>
        <v>40677.966101694918</v>
      </c>
      <c r="J730" s="42">
        <v>48000</v>
      </c>
      <c r="K730" s="42"/>
      <c r="L730" s="42"/>
      <c r="M730" s="42">
        <f t="shared" si="77"/>
        <v>40677.966101694918</v>
      </c>
      <c r="N730" s="42">
        <v>48000</v>
      </c>
      <c r="O730" s="42"/>
      <c r="P730" s="42">
        <f t="shared" si="78"/>
        <v>40677.966101694918</v>
      </c>
      <c r="Q730" s="42">
        <v>48000</v>
      </c>
    </row>
    <row r="731" spans="1:17" s="4" customFormat="1" ht="36.75" customHeight="1" x14ac:dyDescent="0.25">
      <c r="A731" s="18"/>
      <c r="B731" s="11" t="s">
        <v>997</v>
      </c>
      <c r="C731" s="37" t="s">
        <v>1470</v>
      </c>
      <c r="D731" s="38"/>
      <c r="E731" s="38"/>
      <c r="F731" s="72"/>
      <c r="G731" s="34">
        <v>6539</v>
      </c>
      <c r="H731" s="37" t="s">
        <v>1208</v>
      </c>
      <c r="I731" s="42">
        <f t="shared" si="76"/>
        <v>118644.06779661018</v>
      </c>
      <c r="J731" s="42">
        <v>140000</v>
      </c>
      <c r="K731" s="42"/>
      <c r="L731" s="42"/>
      <c r="M731" s="42">
        <f t="shared" si="77"/>
        <v>118644.06779661018</v>
      </c>
      <c r="N731" s="42">
        <v>140000</v>
      </c>
      <c r="O731" s="42"/>
      <c r="P731" s="42">
        <f t="shared" si="78"/>
        <v>118644.06779661018</v>
      </c>
      <c r="Q731" s="42">
        <v>140000</v>
      </c>
    </row>
    <row r="732" spans="1:17" s="4" customFormat="1" ht="36.75" customHeight="1" x14ac:dyDescent="0.25">
      <c r="A732" s="18"/>
      <c r="B732" s="11" t="s">
        <v>997</v>
      </c>
      <c r="C732" s="37" t="s">
        <v>1471</v>
      </c>
      <c r="D732" s="38"/>
      <c r="E732" s="38"/>
      <c r="F732" s="72"/>
      <c r="G732" s="34">
        <v>8533</v>
      </c>
      <c r="H732" s="37" t="s">
        <v>1180</v>
      </c>
      <c r="I732" s="42">
        <f t="shared" si="76"/>
        <v>47457.627118644072</v>
      </c>
      <c r="J732" s="42">
        <v>56000</v>
      </c>
      <c r="K732" s="42"/>
      <c r="L732" s="42"/>
      <c r="M732" s="42">
        <f t="shared" si="77"/>
        <v>47457.627118644072</v>
      </c>
      <c r="N732" s="42">
        <v>56000</v>
      </c>
      <c r="O732" s="42"/>
      <c r="P732" s="42">
        <f t="shared" si="78"/>
        <v>47457.627118644072</v>
      </c>
      <c r="Q732" s="42">
        <v>56000</v>
      </c>
    </row>
    <row r="733" spans="1:17" s="4" customFormat="1" ht="36.75" customHeight="1" x14ac:dyDescent="0.25">
      <c r="A733" s="18"/>
      <c r="B733" s="11" t="s">
        <v>998</v>
      </c>
      <c r="C733" s="37" t="s">
        <v>1472</v>
      </c>
      <c r="D733" s="38"/>
      <c r="E733" s="38"/>
      <c r="F733" s="72"/>
      <c r="G733" s="34">
        <v>5771</v>
      </c>
      <c r="H733" s="37" t="s">
        <v>1209</v>
      </c>
      <c r="I733" s="42">
        <f t="shared" si="76"/>
        <v>32033.898305084749</v>
      </c>
      <c r="J733" s="42">
        <v>37800</v>
      </c>
      <c r="K733" s="42"/>
      <c r="L733" s="42"/>
      <c r="M733" s="42">
        <f t="shared" si="77"/>
        <v>32033.898305084749</v>
      </c>
      <c r="N733" s="42">
        <v>37800</v>
      </c>
      <c r="O733" s="42"/>
      <c r="P733" s="42">
        <f t="shared" si="78"/>
        <v>32033.898305084749</v>
      </c>
      <c r="Q733" s="42">
        <v>37800</v>
      </c>
    </row>
    <row r="734" spans="1:17" s="4" customFormat="1" ht="36.75" customHeight="1" x14ac:dyDescent="0.25">
      <c r="A734" s="18"/>
      <c r="B734" s="11" t="s">
        <v>999</v>
      </c>
      <c r="C734" s="37" t="s">
        <v>1473</v>
      </c>
      <c r="D734" s="38"/>
      <c r="E734" s="38"/>
      <c r="F734" s="72"/>
      <c r="G734" s="34">
        <v>5500</v>
      </c>
      <c r="H734" s="37" t="s">
        <v>1210</v>
      </c>
      <c r="I734" s="42">
        <f t="shared" si="76"/>
        <v>168648.00000000003</v>
      </c>
      <c r="J734" s="42">
        <v>199004.64</v>
      </c>
      <c r="K734" s="42"/>
      <c r="L734" s="42"/>
      <c r="M734" s="42">
        <f t="shared" si="77"/>
        <v>168648.00000000003</v>
      </c>
      <c r="N734" s="42">
        <v>199004.64</v>
      </c>
      <c r="O734" s="42"/>
      <c r="P734" s="42">
        <f t="shared" si="78"/>
        <v>168648.00000000003</v>
      </c>
      <c r="Q734" s="42">
        <v>199004.64</v>
      </c>
    </row>
    <row r="735" spans="1:17" s="4" customFormat="1" ht="36.75" customHeight="1" x14ac:dyDescent="0.25">
      <c r="A735" s="18"/>
      <c r="B735" s="11" t="s">
        <v>1000</v>
      </c>
      <c r="C735" s="37" t="s">
        <v>1474</v>
      </c>
      <c r="D735" s="38"/>
      <c r="E735" s="38"/>
      <c r="F735" s="72"/>
      <c r="G735" s="34">
        <v>4789</v>
      </c>
      <c r="H735" s="37" t="s">
        <v>1048</v>
      </c>
      <c r="I735" s="42">
        <f t="shared" si="76"/>
        <v>45652.542372881355</v>
      </c>
      <c r="J735" s="42">
        <v>53870</v>
      </c>
      <c r="K735" s="42"/>
      <c r="L735" s="42"/>
      <c r="M735" s="42">
        <f t="shared" si="77"/>
        <v>45652.542372881355</v>
      </c>
      <c r="N735" s="42">
        <v>53870</v>
      </c>
      <c r="O735" s="42"/>
      <c r="P735" s="42">
        <f t="shared" si="78"/>
        <v>45652.542372881355</v>
      </c>
      <c r="Q735" s="42">
        <v>53870</v>
      </c>
    </row>
    <row r="736" spans="1:17" s="4" customFormat="1" ht="36.75" customHeight="1" x14ac:dyDescent="0.25">
      <c r="A736" s="18"/>
      <c r="B736" s="11" t="s">
        <v>1000</v>
      </c>
      <c r="C736" s="37" t="s">
        <v>1475</v>
      </c>
      <c r="D736" s="38"/>
      <c r="E736" s="38"/>
      <c r="F736" s="72"/>
      <c r="G736" s="34">
        <v>899</v>
      </c>
      <c r="H736" s="37" t="s">
        <v>1211</v>
      </c>
      <c r="I736" s="42">
        <f t="shared" si="76"/>
        <v>202021.18644067796</v>
      </c>
      <c r="J736" s="42">
        <v>238385</v>
      </c>
      <c r="K736" s="42"/>
      <c r="L736" s="42"/>
      <c r="M736" s="42">
        <f t="shared" si="77"/>
        <v>202021.18644067796</v>
      </c>
      <c r="N736" s="42">
        <v>238385</v>
      </c>
      <c r="O736" s="42"/>
      <c r="P736" s="42">
        <f t="shared" si="78"/>
        <v>202021.18644067796</v>
      </c>
      <c r="Q736" s="42">
        <v>238385</v>
      </c>
    </row>
    <row r="737" spans="1:17" s="4" customFormat="1" ht="36.75" customHeight="1" x14ac:dyDescent="0.25">
      <c r="A737" s="18"/>
      <c r="B737" s="11" t="s">
        <v>1001</v>
      </c>
      <c r="C737" s="37" t="s">
        <v>1476</v>
      </c>
      <c r="D737" s="38"/>
      <c r="E737" s="38"/>
      <c r="F737" s="72"/>
      <c r="G737" s="34">
        <v>2770</v>
      </c>
      <c r="H737" s="37" t="s">
        <v>1212</v>
      </c>
      <c r="I737" s="42">
        <v>152209.20000000001</v>
      </c>
      <c r="J737" s="42">
        <v>152209.20000000001</v>
      </c>
      <c r="K737" s="42"/>
      <c r="L737" s="42"/>
      <c r="M737" s="42">
        <v>152209.20000000001</v>
      </c>
      <c r="N737" s="42">
        <v>152209.20000000001</v>
      </c>
      <c r="O737" s="42"/>
      <c r="P737" s="42">
        <f t="shared" si="78"/>
        <v>152209.20000000001</v>
      </c>
      <c r="Q737" s="42">
        <v>152209.20000000001</v>
      </c>
    </row>
    <row r="738" spans="1:17" s="4" customFormat="1" ht="36.75" customHeight="1" x14ac:dyDescent="0.25">
      <c r="A738" s="18"/>
      <c r="B738" s="11" t="s">
        <v>1001</v>
      </c>
      <c r="C738" s="37" t="s">
        <v>1477</v>
      </c>
      <c r="D738" s="38"/>
      <c r="E738" s="38"/>
      <c r="F738" s="72"/>
      <c r="G738" s="34">
        <v>6291</v>
      </c>
      <c r="H738" s="37" t="s">
        <v>1054</v>
      </c>
      <c r="I738" s="42">
        <v>188830.6</v>
      </c>
      <c r="J738" s="42">
        <v>188830.6</v>
      </c>
      <c r="K738" s="42"/>
      <c r="L738" s="42"/>
      <c r="M738" s="42">
        <v>188830.6</v>
      </c>
      <c r="N738" s="42">
        <v>188830.6</v>
      </c>
      <c r="O738" s="42"/>
      <c r="P738" s="42">
        <f t="shared" si="78"/>
        <v>188830.6</v>
      </c>
      <c r="Q738" s="42">
        <v>188830.6</v>
      </c>
    </row>
    <row r="739" spans="1:17" s="4" customFormat="1" ht="36.75" customHeight="1" x14ac:dyDescent="0.25">
      <c r="A739" s="18"/>
      <c r="B739" s="11" t="s">
        <v>1002</v>
      </c>
      <c r="C739" s="37" t="s">
        <v>1478</v>
      </c>
      <c r="D739" s="38"/>
      <c r="E739" s="38"/>
      <c r="F739" s="72"/>
      <c r="G739" s="34">
        <v>1699</v>
      </c>
      <c r="H739" s="37" t="s">
        <v>1213</v>
      </c>
      <c r="I739" s="42">
        <f>J739/1.18</f>
        <v>45063.91525423729</v>
      </c>
      <c r="J739" s="42">
        <v>53175.42</v>
      </c>
      <c r="K739" s="42"/>
      <c r="L739" s="42"/>
      <c r="M739" s="42">
        <f>N739/1.18</f>
        <v>45063.91525423729</v>
      </c>
      <c r="N739" s="42">
        <v>53175.42</v>
      </c>
      <c r="O739" s="42"/>
      <c r="P739" s="42">
        <f t="shared" si="78"/>
        <v>45063.91525423729</v>
      </c>
      <c r="Q739" s="42">
        <v>53175.42</v>
      </c>
    </row>
    <row r="740" spans="1:17" s="4" customFormat="1" ht="36.75" customHeight="1" x14ac:dyDescent="0.25">
      <c r="A740" s="18"/>
      <c r="B740" s="11" t="s">
        <v>1002</v>
      </c>
      <c r="C740" s="37" t="s">
        <v>1479</v>
      </c>
      <c r="D740" s="38"/>
      <c r="E740" s="38"/>
      <c r="F740" s="72"/>
      <c r="G740" s="34">
        <v>1751</v>
      </c>
      <c r="H740" s="37" t="s">
        <v>1214</v>
      </c>
      <c r="I740" s="42">
        <f t="shared" ref="I740:I785" si="79">J740/1.18</f>
        <v>42372.881355932208</v>
      </c>
      <c r="J740" s="42">
        <v>50000</v>
      </c>
      <c r="K740" s="42"/>
      <c r="L740" s="42"/>
      <c r="M740" s="42">
        <f t="shared" ref="M740:M785" si="80">N740/1.18</f>
        <v>42372.881355932208</v>
      </c>
      <c r="N740" s="42">
        <v>50000</v>
      </c>
      <c r="O740" s="42"/>
      <c r="P740" s="42">
        <f t="shared" si="78"/>
        <v>42372.881355932208</v>
      </c>
      <c r="Q740" s="42">
        <v>50000</v>
      </c>
    </row>
    <row r="741" spans="1:17" s="4" customFormat="1" ht="36.75" customHeight="1" x14ac:dyDescent="0.25">
      <c r="A741" s="18"/>
      <c r="B741" s="11" t="s">
        <v>1002</v>
      </c>
      <c r="C741" s="37" t="s">
        <v>1480</v>
      </c>
      <c r="D741" s="38"/>
      <c r="E741" s="38"/>
      <c r="F741" s="72"/>
      <c r="G741" s="34">
        <v>4962</v>
      </c>
      <c r="H741" s="37" t="s">
        <v>1215</v>
      </c>
      <c r="I741" s="42">
        <f t="shared" si="79"/>
        <v>87155.08474576271</v>
      </c>
      <c r="J741" s="42">
        <v>102843</v>
      </c>
      <c r="K741" s="42"/>
      <c r="L741" s="42"/>
      <c r="M741" s="42">
        <f t="shared" si="80"/>
        <v>87155.08474576271</v>
      </c>
      <c r="N741" s="42">
        <v>102843</v>
      </c>
      <c r="O741" s="42"/>
      <c r="P741" s="42">
        <f t="shared" si="78"/>
        <v>87155.08474576271</v>
      </c>
      <c r="Q741" s="42">
        <v>102843</v>
      </c>
    </row>
    <row r="742" spans="1:17" s="4" customFormat="1" ht="36.75" customHeight="1" x14ac:dyDescent="0.25">
      <c r="A742" s="18"/>
      <c r="B742" s="11" t="s">
        <v>1002</v>
      </c>
      <c r="C742" s="37" t="s">
        <v>1481</v>
      </c>
      <c r="D742" s="38"/>
      <c r="E742" s="38"/>
      <c r="F742" s="72"/>
      <c r="G742" s="34">
        <v>6252</v>
      </c>
      <c r="H742" s="37" t="s">
        <v>1216</v>
      </c>
      <c r="I742" s="42">
        <f t="shared" si="79"/>
        <v>87436.796610169491</v>
      </c>
      <c r="J742" s="42">
        <v>103175.42</v>
      </c>
      <c r="K742" s="42"/>
      <c r="L742" s="42"/>
      <c r="M742" s="42">
        <f t="shared" si="80"/>
        <v>87436.796610169491</v>
      </c>
      <c r="N742" s="42">
        <v>103175.42</v>
      </c>
      <c r="O742" s="42"/>
      <c r="P742" s="42">
        <f t="shared" si="78"/>
        <v>87436.796610169491</v>
      </c>
      <c r="Q742" s="42">
        <v>103175.42</v>
      </c>
    </row>
    <row r="743" spans="1:17" s="4" customFormat="1" ht="36.75" customHeight="1" x14ac:dyDescent="0.25">
      <c r="A743" s="18"/>
      <c r="B743" s="11" t="s">
        <v>1002</v>
      </c>
      <c r="C743" s="37" t="s">
        <v>1482</v>
      </c>
      <c r="D743" s="38"/>
      <c r="E743" s="38"/>
      <c r="F743" s="72"/>
      <c r="G743" s="34">
        <v>7601</v>
      </c>
      <c r="H743" s="37" t="s">
        <v>1217</v>
      </c>
      <c r="I743" s="42">
        <f t="shared" si="79"/>
        <v>87436.796610169491</v>
      </c>
      <c r="J743" s="42">
        <v>103175.42</v>
      </c>
      <c r="K743" s="42"/>
      <c r="L743" s="42"/>
      <c r="M743" s="42">
        <f t="shared" si="80"/>
        <v>87436.796610169491</v>
      </c>
      <c r="N743" s="42">
        <v>103175.42</v>
      </c>
      <c r="O743" s="42"/>
      <c r="P743" s="42">
        <f t="shared" si="78"/>
        <v>87436.796610169491</v>
      </c>
      <c r="Q743" s="42">
        <v>103175.42</v>
      </c>
    </row>
    <row r="744" spans="1:17" s="4" customFormat="1" ht="36.75" customHeight="1" x14ac:dyDescent="0.25">
      <c r="A744" s="18"/>
      <c r="B744" s="11" t="s">
        <v>1002</v>
      </c>
      <c r="C744" s="37" t="s">
        <v>1483</v>
      </c>
      <c r="D744" s="38"/>
      <c r="E744" s="38"/>
      <c r="F744" s="72"/>
      <c r="G744" s="34">
        <v>5821</v>
      </c>
      <c r="H744" s="37" t="s">
        <v>1168</v>
      </c>
      <c r="I744" s="42">
        <f t="shared" si="79"/>
        <v>88704</v>
      </c>
      <c r="J744" s="42">
        <v>104670.72</v>
      </c>
      <c r="K744" s="42"/>
      <c r="L744" s="42"/>
      <c r="M744" s="42">
        <f t="shared" si="80"/>
        <v>88704</v>
      </c>
      <c r="N744" s="42">
        <v>104670.72</v>
      </c>
      <c r="O744" s="42"/>
      <c r="P744" s="42">
        <f t="shared" si="78"/>
        <v>88704</v>
      </c>
      <c r="Q744" s="42">
        <v>104670.72</v>
      </c>
    </row>
    <row r="745" spans="1:17" s="4" customFormat="1" ht="36.75" customHeight="1" x14ac:dyDescent="0.25">
      <c r="A745" s="18"/>
      <c r="B745" s="11" t="s">
        <v>1002</v>
      </c>
      <c r="C745" s="37" t="s">
        <v>1484</v>
      </c>
      <c r="D745" s="38"/>
      <c r="E745" s="38"/>
      <c r="F745" s="72"/>
      <c r="G745" s="34">
        <v>6479</v>
      </c>
      <c r="H745" s="37" t="s">
        <v>1218</v>
      </c>
      <c r="I745" s="42">
        <f t="shared" si="79"/>
        <v>88704</v>
      </c>
      <c r="J745" s="42">
        <v>104670.72</v>
      </c>
      <c r="K745" s="42"/>
      <c r="L745" s="42"/>
      <c r="M745" s="42">
        <f t="shared" si="80"/>
        <v>88704</v>
      </c>
      <c r="N745" s="42">
        <v>104670.72</v>
      </c>
      <c r="O745" s="42"/>
      <c r="P745" s="42">
        <f t="shared" si="78"/>
        <v>88704</v>
      </c>
      <c r="Q745" s="42">
        <v>104670.72</v>
      </c>
    </row>
    <row r="746" spans="1:17" s="4" customFormat="1" ht="36.75" customHeight="1" x14ac:dyDescent="0.25">
      <c r="A746" s="18"/>
      <c r="B746" s="11" t="s">
        <v>1002</v>
      </c>
      <c r="C746" s="37" t="s">
        <v>1485</v>
      </c>
      <c r="D746" s="38"/>
      <c r="E746" s="38"/>
      <c r="F746" s="72"/>
      <c r="G746" s="34">
        <v>7514</v>
      </c>
      <c r="H746" s="37" t="s">
        <v>1219</v>
      </c>
      <c r="I746" s="42">
        <f>J746/1.18</f>
        <v>88704</v>
      </c>
      <c r="J746" s="42">
        <v>104670.72</v>
      </c>
      <c r="K746" s="42"/>
      <c r="L746" s="42"/>
      <c r="M746" s="42">
        <f>N746/1.18</f>
        <v>88704</v>
      </c>
      <c r="N746" s="42">
        <v>104670.72</v>
      </c>
      <c r="O746" s="42"/>
      <c r="P746" s="42">
        <f t="shared" si="78"/>
        <v>88704</v>
      </c>
      <c r="Q746" s="42">
        <v>104670.72</v>
      </c>
    </row>
    <row r="747" spans="1:17" s="4" customFormat="1" ht="36.75" customHeight="1" x14ac:dyDescent="0.25">
      <c r="A747" s="18"/>
      <c r="B747" s="11" t="s">
        <v>1002</v>
      </c>
      <c r="C747" s="37" t="s">
        <v>1486</v>
      </c>
      <c r="D747" s="38"/>
      <c r="E747" s="38"/>
      <c r="F747" s="72"/>
      <c r="G747" s="34">
        <v>8084</v>
      </c>
      <c r="H747" s="37" t="s">
        <v>1105</v>
      </c>
      <c r="I747" s="42">
        <f t="shared" si="79"/>
        <v>88704</v>
      </c>
      <c r="J747" s="42">
        <v>104670.72</v>
      </c>
      <c r="K747" s="42"/>
      <c r="L747" s="42"/>
      <c r="M747" s="42">
        <f t="shared" si="80"/>
        <v>88704</v>
      </c>
      <c r="N747" s="42">
        <v>104670.72</v>
      </c>
      <c r="O747" s="42"/>
      <c r="P747" s="42">
        <f t="shared" si="78"/>
        <v>88704</v>
      </c>
      <c r="Q747" s="42">
        <v>104670.72</v>
      </c>
    </row>
    <row r="748" spans="1:17" s="4" customFormat="1" ht="36.75" customHeight="1" x14ac:dyDescent="0.25">
      <c r="A748" s="18"/>
      <c r="B748" s="11" t="s">
        <v>1002</v>
      </c>
      <c r="C748" s="37" t="s">
        <v>1487</v>
      </c>
      <c r="D748" s="38"/>
      <c r="E748" s="38"/>
      <c r="F748" s="72"/>
      <c r="G748" s="34">
        <v>8504</v>
      </c>
      <c r="H748" s="37" t="s">
        <v>1141</v>
      </c>
      <c r="I748" s="42">
        <f t="shared" si="79"/>
        <v>88704</v>
      </c>
      <c r="J748" s="42">
        <v>104670.72</v>
      </c>
      <c r="K748" s="42"/>
      <c r="L748" s="42"/>
      <c r="M748" s="42">
        <f t="shared" si="80"/>
        <v>88704</v>
      </c>
      <c r="N748" s="42">
        <v>104670.72</v>
      </c>
      <c r="O748" s="42"/>
      <c r="P748" s="42">
        <f t="shared" si="78"/>
        <v>88704</v>
      </c>
      <c r="Q748" s="42">
        <v>104670.72</v>
      </c>
    </row>
    <row r="749" spans="1:17" s="4" customFormat="1" ht="36.75" customHeight="1" x14ac:dyDescent="0.25">
      <c r="A749" s="18"/>
      <c r="B749" s="11" t="s">
        <v>1002</v>
      </c>
      <c r="C749" s="37" t="s">
        <v>1486</v>
      </c>
      <c r="D749" s="38"/>
      <c r="E749" s="38"/>
      <c r="F749" s="72"/>
      <c r="G749" s="34">
        <v>9193</v>
      </c>
      <c r="H749" s="37" t="s">
        <v>1220</v>
      </c>
      <c r="I749" s="42">
        <f t="shared" si="79"/>
        <v>88704</v>
      </c>
      <c r="J749" s="42">
        <v>104670.72</v>
      </c>
      <c r="K749" s="42"/>
      <c r="L749" s="42"/>
      <c r="M749" s="42">
        <f t="shared" si="80"/>
        <v>88704</v>
      </c>
      <c r="N749" s="42">
        <v>104670.72</v>
      </c>
      <c r="O749" s="42"/>
      <c r="P749" s="42">
        <f t="shared" si="78"/>
        <v>88704</v>
      </c>
      <c r="Q749" s="42">
        <v>104670.72</v>
      </c>
    </row>
    <row r="750" spans="1:17" s="4" customFormat="1" ht="36.75" customHeight="1" x14ac:dyDescent="0.25">
      <c r="A750" s="18"/>
      <c r="B750" s="11" t="s">
        <v>1002</v>
      </c>
      <c r="C750" s="37" t="s">
        <v>1488</v>
      </c>
      <c r="D750" s="38"/>
      <c r="E750" s="38"/>
      <c r="F750" s="72"/>
      <c r="G750" s="34">
        <v>9971</v>
      </c>
      <c r="H750" s="37" t="s">
        <v>1147</v>
      </c>
      <c r="I750" s="42">
        <f t="shared" si="79"/>
        <v>88704</v>
      </c>
      <c r="J750" s="42">
        <v>104670.72</v>
      </c>
      <c r="K750" s="42"/>
      <c r="L750" s="42"/>
      <c r="M750" s="42">
        <f t="shared" si="80"/>
        <v>88704</v>
      </c>
      <c r="N750" s="42">
        <v>104670.72</v>
      </c>
      <c r="O750" s="42"/>
      <c r="P750" s="42">
        <f t="shared" si="78"/>
        <v>88704</v>
      </c>
      <c r="Q750" s="42">
        <v>104670.72</v>
      </c>
    </row>
    <row r="751" spans="1:17" s="4" customFormat="1" ht="36.75" customHeight="1" x14ac:dyDescent="0.25">
      <c r="A751" s="18"/>
      <c r="B751" s="11" t="s">
        <v>1002</v>
      </c>
      <c r="C751" s="37" t="s">
        <v>1489</v>
      </c>
      <c r="D751" s="38"/>
      <c r="E751" s="38"/>
      <c r="F751" s="72"/>
      <c r="G751" s="34">
        <v>15783</v>
      </c>
      <c r="H751" s="37" t="s">
        <v>1221</v>
      </c>
      <c r="I751" s="42">
        <f t="shared" si="79"/>
        <v>88704</v>
      </c>
      <c r="J751" s="42">
        <v>104670.72</v>
      </c>
      <c r="K751" s="42"/>
      <c r="L751" s="42"/>
      <c r="M751" s="42">
        <f t="shared" si="80"/>
        <v>88704</v>
      </c>
      <c r="N751" s="42">
        <v>104670.72</v>
      </c>
      <c r="O751" s="42"/>
      <c r="P751" s="42">
        <f t="shared" si="78"/>
        <v>88704</v>
      </c>
      <c r="Q751" s="42">
        <v>104670.72</v>
      </c>
    </row>
    <row r="752" spans="1:17" s="4" customFormat="1" ht="36.75" customHeight="1" x14ac:dyDescent="0.25">
      <c r="A752" s="18"/>
      <c r="B752" s="11" t="s">
        <v>1003</v>
      </c>
      <c r="C752" s="37" t="s">
        <v>1490</v>
      </c>
      <c r="D752" s="38"/>
      <c r="E752" s="38"/>
      <c r="F752" s="72"/>
      <c r="G752" s="34">
        <v>91</v>
      </c>
      <c r="H752" s="37" t="s">
        <v>1183</v>
      </c>
      <c r="I752" s="42">
        <f t="shared" si="79"/>
        <v>94779.661016949161</v>
      </c>
      <c r="J752" s="42">
        <v>111840</v>
      </c>
      <c r="K752" s="42"/>
      <c r="L752" s="42"/>
      <c r="M752" s="42">
        <f t="shared" si="80"/>
        <v>94779.661016949161</v>
      </c>
      <c r="N752" s="42">
        <v>111840</v>
      </c>
      <c r="O752" s="42"/>
      <c r="P752" s="42">
        <f t="shared" si="78"/>
        <v>94779.661016949161</v>
      </c>
      <c r="Q752" s="42">
        <v>111840</v>
      </c>
    </row>
    <row r="753" spans="1:17" s="4" customFormat="1" ht="36.75" customHeight="1" x14ac:dyDescent="0.25">
      <c r="A753" s="18"/>
      <c r="B753" s="11" t="s">
        <v>1004</v>
      </c>
      <c r="C753" s="37" t="s">
        <v>1491</v>
      </c>
      <c r="D753" s="38"/>
      <c r="E753" s="38"/>
      <c r="F753" s="72"/>
      <c r="G753" s="34">
        <v>1831</v>
      </c>
      <c r="H753" s="37" t="s">
        <v>1191</v>
      </c>
      <c r="I753" s="42">
        <f t="shared" si="79"/>
        <v>71220.338983050853</v>
      </c>
      <c r="J753" s="42">
        <v>84040</v>
      </c>
      <c r="K753" s="42"/>
      <c r="L753" s="42"/>
      <c r="M753" s="42">
        <f t="shared" si="80"/>
        <v>71220.338983050853</v>
      </c>
      <c r="N753" s="42">
        <v>84040</v>
      </c>
      <c r="O753" s="42"/>
      <c r="P753" s="42">
        <f t="shared" si="78"/>
        <v>71220.338983050853</v>
      </c>
      <c r="Q753" s="42">
        <v>84040</v>
      </c>
    </row>
    <row r="754" spans="1:17" s="4" customFormat="1" ht="36.75" customHeight="1" x14ac:dyDescent="0.25">
      <c r="A754" s="18"/>
      <c r="B754" s="11" t="s">
        <v>1004</v>
      </c>
      <c r="C754" s="37" t="s">
        <v>1492</v>
      </c>
      <c r="D754" s="38"/>
      <c r="E754" s="38"/>
      <c r="F754" s="72"/>
      <c r="G754" s="34">
        <v>2340</v>
      </c>
      <c r="H754" s="37" t="s">
        <v>1222</v>
      </c>
      <c r="I754" s="42">
        <f t="shared" si="79"/>
        <v>70652.542372881362</v>
      </c>
      <c r="J754" s="42">
        <v>83370</v>
      </c>
      <c r="K754" s="42"/>
      <c r="L754" s="42"/>
      <c r="M754" s="42">
        <f t="shared" si="80"/>
        <v>70652.542372881362</v>
      </c>
      <c r="N754" s="42">
        <v>83370</v>
      </c>
      <c r="O754" s="42"/>
      <c r="P754" s="42">
        <f t="shared" si="78"/>
        <v>70652.542372881362</v>
      </c>
      <c r="Q754" s="42">
        <v>83370</v>
      </c>
    </row>
    <row r="755" spans="1:17" s="4" customFormat="1" ht="36.75" customHeight="1" x14ac:dyDescent="0.25">
      <c r="A755" s="18"/>
      <c r="B755" s="11" t="s">
        <v>1004</v>
      </c>
      <c r="C755" s="37" t="s">
        <v>1493</v>
      </c>
      <c r="D755" s="38"/>
      <c r="E755" s="38"/>
      <c r="F755" s="72"/>
      <c r="G755" s="34">
        <v>2897</v>
      </c>
      <c r="H755" s="37" t="s">
        <v>1223</v>
      </c>
      <c r="I755" s="42">
        <f t="shared" si="79"/>
        <v>67288.135593220344</v>
      </c>
      <c r="J755" s="42">
        <v>79400</v>
      </c>
      <c r="K755" s="42"/>
      <c r="L755" s="42"/>
      <c r="M755" s="42">
        <f t="shared" si="80"/>
        <v>67288.135593220344</v>
      </c>
      <c r="N755" s="42">
        <v>79400</v>
      </c>
      <c r="O755" s="42"/>
      <c r="P755" s="42">
        <f t="shared" si="78"/>
        <v>67288.135593220344</v>
      </c>
      <c r="Q755" s="42">
        <v>79400</v>
      </c>
    </row>
    <row r="756" spans="1:17" s="4" customFormat="1" ht="36.75" customHeight="1" x14ac:dyDescent="0.25">
      <c r="A756" s="18"/>
      <c r="B756" s="11" t="s">
        <v>1004</v>
      </c>
      <c r="C756" s="37" t="s">
        <v>1494</v>
      </c>
      <c r="D756" s="38"/>
      <c r="E756" s="38"/>
      <c r="F756" s="72"/>
      <c r="G756" s="34">
        <v>3160</v>
      </c>
      <c r="H756" s="37" t="s">
        <v>1224</v>
      </c>
      <c r="I756" s="42">
        <f t="shared" si="79"/>
        <v>129457.62711864407</v>
      </c>
      <c r="J756" s="42">
        <v>152760</v>
      </c>
      <c r="K756" s="42"/>
      <c r="L756" s="42"/>
      <c r="M756" s="42">
        <f t="shared" si="80"/>
        <v>129457.62711864407</v>
      </c>
      <c r="N756" s="42">
        <v>152760</v>
      </c>
      <c r="O756" s="42"/>
      <c r="P756" s="42">
        <f t="shared" si="78"/>
        <v>129457.62711864407</v>
      </c>
      <c r="Q756" s="42">
        <v>152760</v>
      </c>
    </row>
    <row r="757" spans="1:17" s="4" customFormat="1" ht="36.75" customHeight="1" x14ac:dyDescent="0.25">
      <c r="A757" s="18"/>
      <c r="B757" s="11" t="s">
        <v>1004</v>
      </c>
      <c r="C757" s="37" t="s">
        <v>1495</v>
      </c>
      <c r="D757" s="38"/>
      <c r="E757" s="38"/>
      <c r="F757" s="72"/>
      <c r="G757" s="34">
        <v>3817</v>
      </c>
      <c r="H757" s="37" t="s">
        <v>1225</v>
      </c>
      <c r="I757" s="42">
        <f t="shared" si="79"/>
        <v>68135.593220338982</v>
      </c>
      <c r="J757" s="42">
        <v>80400</v>
      </c>
      <c r="K757" s="42"/>
      <c r="L757" s="42"/>
      <c r="M757" s="42">
        <f t="shared" si="80"/>
        <v>68135.593220338982</v>
      </c>
      <c r="N757" s="42">
        <v>80400</v>
      </c>
      <c r="O757" s="42"/>
      <c r="P757" s="42">
        <f t="shared" si="78"/>
        <v>68135.593220338982</v>
      </c>
      <c r="Q757" s="42">
        <v>80400</v>
      </c>
    </row>
    <row r="758" spans="1:17" s="4" customFormat="1" ht="36.75" customHeight="1" x14ac:dyDescent="0.25">
      <c r="A758" s="18"/>
      <c r="B758" s="11" t="s">
        <v>1004</v>
      </c>
      <c r="C758" s="37" t="s">
        <v>1496</v>
      </c>
      <c r="D758" s="38"/>
      <c r="E758" s="38"/>
      <c r="F758" s="72"/>
      <c r="G758" s="34">
        <v>4171</v>
      </c>
      <c r="H758" s="37" t="s">
        <v>1044</v>
      </c>
      <c r="I758" s="42">
        <f t="shared" si="79"/>
        <v>67851.016949152545</v>
      </c>
      <c r="J758" s="42">
        <v>80064.2</v>
      </c>
      <c r="K758" s="42"/>
      <c r="L758" s="42"/>
      <c r="M758" s="42">
        <f t="shared" si="80"/>
        <v>67851.016949152545</v>
      </c>
      <c r="N758" s="42">
        <v>80064.2</v>
      </c>
      <c r="O758" s="42"/>
      <c r="P758" s="42">
        <f t="shared" si="78"/>
        <v>67851.016949152545</v>
      </c>
      <c r="Q758" s="42">
        <v>80064.2</v>
      </c>
    </row>
    <row r="759" spans="1:17" s="4" customFormat="1" ht="36.75" customHeight="1" x14ac:dyDescent="0.25">
      <c r="A759" s="18"/>
      <c r="B759" s="11" t="s">
        <v>1004</v>
      </c>
      <c r="C759" s="37" t="s">
        <v>1497</v>
      </c>
      <c r="D759" s="38"/>
      <c r="E759" s="38"/>
      <c r="F759" s="72"/>
      <c r="G759" s="34">
        <v>4398</v>
      </c>
      <c r="H759" s="37" t="s">
        <v>1226</v>
      </c>
      <c r="I759" s="42">
        <f t="shared" si="79"/>
        <v>24144.067796610172</v>
      </c>
      <c r="J759" s="42">
        <v>28490</v>
      </c>
      <c r="K759" s="42"/>
      <c r="L759" s="42"/>
      <c r="M759" s="42">
        <f t="shared" si="80"/>
        <v>24144.067796610172</v>
      </c>
      <c r="N759" s="42">
        <v>28490</v>
      </c>
      <c r="O759" s="42"/>
      <c r="P759" s="42">
        <f t="shared" si="78"/>
        <v>24144.067796610172</v>
      </c>
      <c r="Q759" s="42">
        <v>28490</v>
      </c>
    </row>
    <row r="760" spans="1:17" s="4" customFormat="1" ht="36.75" customHeight="1" x14ac:dyDescent="0.25">
      <c r="A760" s="18"/>
      <c r="B760" s="11" t="s">
        <v>1004</v>
      </c>
      <c r="C760" s="37" t="s">
        <v>1498</v>
      </c>
      <c r="D760" s="38"/>
      <c r="E760" s="38"/>
      <c r="F760" s="72"/>
      <c r="G760" s="34">
        <v>4865</v>
      </c>
      <c r="H760" s="37" t="s">
        <v>1227</v>
      </c>
      <c r="I760" s="42">
        <f t="shared" si="79"/>
        <v>84640</v>
      </c>
      <c r="J760" s="42">
        <v>99875.199999999997</v>
      </c>
      <c r="K760" s="42"/>
      <c r="L760" s="42"/>
      <c r="M760" s="42">
        <f t="shared" si="80"/>
        <v>84640</v>
      </c>
      <c r="N760" s="42">
        <v>99875.199999999997</v>
      </c>
      <c r="O760" s="42"/>
      <c r="P760" s="42">
        <f t="shared" si="78"/>
        <v>84640</v>
      </c>
      <c r="Q760" s="42">
        <v>99875.199999999997</v>
      </c>
    </row>
    <row r="761" spans="1:17" s="4" customFormat="1" ht="36.75" customHeight="1" x14ac:dyDescent="0.25">
      <c r="A761" s="18"/>
      <c r="B761" s="11" t="s">
        <v>1004</v>
      </c>
      <c r="C761" s="37" t="s">
        <v>1499</v>
      </c>
      <c r="D761" s="38"/>
      <c r="E761" s="38"/>
      <c r="F761" s="72"/>
      <c r="G761" s="34">
        <v>5369</v>
      </c>
      <c r="H761" s="37" t="s">
        <v>1228</v>
      </c>
      <c r="I761" s="42">
        <f t="shared" si="79"/>
        <v>83338.983050847455</v>
      </c>
      <c r="J761" s="42">
        <v>98340</v>
      </c>
      <c r="K761" s="42"/>
      <c r="L761" s="42"/>
      <c r="M761" s="42">
        <f t="shared" si="80"/>
        <v>83338.983050847455</v>
      </c>
      <c r="N761" s="42">
        <v>98340</v>
      </c>
      <c r="O761" s="42"/>
      <c r="P761" s="42">
        <f t="shared" si="78"/>
        <v>83338.983050847455</v>
      </c>
      <c r="Q761" s="42">
        <v>98340</v>
      </c>
    </row>
    <row r="762" spans="1:17" s="4" customFormat="1" ht="36.75" customHeight="1" x14ac:dyDescent="0.25">
      <c r="A762" s="18"/>
      <c r="B762" s="11" t="s">
        <v>1004</v>
      </c>
      <c r="C762" s="37" t="s">
        <v>1500</v>
      </c>
      <c r="D762" s="38"/>
      <c r="E762" s="38"/>
      <c r="F762" s="72"/>
      <c r="G762" s="34">
        <v>5965</v>
      </c>
      <c r="H762" s="37" t="s">
        <v>1229</v>
      </c>
      <c r="I762" s="42">
        <f t="shared" si="79"/>
        <v>117497.28813559322</v>
      </c>
      <c r="J762" s="42">
        <v>138646.79999999999</v>
      </c>
      <c r="K762" s="42"/>
      <c r="L762" s="42"/>
      <c r="M762" s="42">
        <f t="shared" si="80"/>
        <v>117497.28813559322</v>
      </c>
      <c r="N762" s="42">
        <v>138646.79999999999</v>
      </c>
      <c r="O762" s="42"/>
      <c r="P762" s="42">
        <f t="shared" si="78"/>
        <v>117497.28813559322</v>
      </c>
      <c r="Q762" s="42">
        <v>138646.79999999999</v>
      </c>
    </row>
    <row r="763" spans="1:17" s="4" customFormat="1" ht="36.75" customHeight="1" x14ac:dyDescent="0.25">
      <c r="A763" s="18"/>
      <c r="B763" s="11" t="s">
        <v>1004</v>
      </c>
      <c r="C763" s="37" t="s">
        <v>1501</v>
      </c>
      <c r="D763" s="38"/>
      <c r="E763" s="38"/>
      <c r="F763" s="72"/>
      <c r="G763" s="34">
        <v>6589</v>
      </c>
      <c r="H763" s="37" t="s">
        <v>1203</v>
      </c>
      <c r="I763" s="42">
        <f t="shared" si="79"/>
        <v>121599.15254237289</v>
      </c>
      <c r="J763" s="42">
        <v>143487</v>
      </c>
      <c r="K763" s="42"/>
      <c r="L763" s="42"/>
      <c r="M763" s="42">
        <f t="shared" si="80"/>
        <v>121599.15254237289</v>
      </c>
      <c r="N763" s="42">
        <v>143487</v>
      </c>
      <c r="O763" s="42"/>
      <c r="P763" s="42">
        <f t="shared" si="78"/>
        <v>121599.15254237289</v>
      </c>
      <c r="Q763" s="42">
        <v>143487</v>
      </c>
    </row>
    <row r="764" spans="1:17" s="4" customFormat="1" ht="36.75" customHeight="1" x14ac:dyDescent="0.25">
      <c r="A764" s="18"/>
      <c r="B764" s="11" t="s">
        <v>1004</v>
      </c>
      <c r="C764" s="37" t="s">
        <v>1502</v>
      </c>
      <c r="D764" s="38"/>
      <c r="E764" s="38"/>
      <c r="F764" s="72"/>
      <c r="G764" s="34">
        <v>7046</v>
      </c>
      <c r="H764" s="37" t="s">
        <v>79</v>
      </c>
      <c r="I764" s="42">
        <f t="shared" si="79"/>
        <v>115159.32203389831</v>
      </c>
      <c r="J764" s="42">
        <v>135888</v>
      </c>
      <c r="K764" s="42"/>
      <c r="L764" s="42"/>
      <c r="M764" s="42">
        <f t="shared" si="80"/>
        <v>115159.32203389831</v>
      </c>
      <c r="N764" s="42">
        <v>135888</v>
      </c>
      <c r="O764" s="42"/>
      <c r="P764" s="42">
        <f t="shared" si="78"/>
        <v>115159.32203389831</v>
      </c>
      <c r="Q764" s="42">
        <v>135888</v>
      </c>
    </row>
    <row r="765" spans="1:17" s="4" customFormat="1" ht="36.75" customHeight="1" x14ac:dyDescent="0.25">
      <c r="A765" s="18"/>
      <c r="B765" s="11" t="s">
        <v>1004</v>
      </c>
      <c r="C765" s="37" t="s">
        <v>1503</v>
      </c>
      <c r="D765" s="38"/>
      <c r="E765" s="38"/>
      <c r="F765" s="72"/>
      <c r="G765" s="34">
        <v>7167</v>
      </c>
      <c r="H765" s="37" t="s">
        <v>1230</v>
      </c>
      <c r="I765" s="42">
        <f t="shared" si="79"/>
        <v>106673.89830508475</v>
      </c>
      <c r="J765" s="42">
        <v>125875.2</v>
      </c>
      <c r="K765" s="42"/>
      <c r="L765" s="42"/>
      <c r="M765" s="42">
        <f t="shared" si="80"/>
        <v>106673.89830508475</v>
      </c>
      <c r="N765" s="42">
        <v>125875.2</v>
      </c>
      <c r="O765" s="42"/>
      <c r="P765" s="42">
        <f t="shared" si="78"/>
        <v>106673.89830508475</v>
      </c>
      <c r="Q765" s="42">
        <v>125875.2</v>
      </c>
    </row>
    <row r="766" spans="1:17" s="4" customFormat="1" ht="36.75" customHeight="1" x14ac:dyDescent="0.25">
      <c r="A766" s="18"/>
      <c r="B766" s="11" t="s">
        <v>1004</v>
      </c>
      <c r="C766" s="37" t="s">
        <v>1504</v>
      </c>
      <c r="D766" s="38"/>
      <c r="E766" s="38"/>
      <c r="F766" s="72"/>
      <c r="G766" s="34">
        <v>7309</v>
      </c>
      <c r="H766" s="37" t="s">
        <v>1231</v>
      </c>
      <c r="I766" s="42">
        <f t="shared" si="79"/>
        <v>106598.13559322034</v>
      </c>
      <c r="J766" s="42">
        <v>125785.8</v>
      </c>
      <c r="K766" s="42"/>
      <c r="L766" s="42"/>
      <c r="M766" s="42">
        <f t="shared" si="80"/>
        <v>106598.13559322034</v>
      </c>
      <c r="N766" s="42">
        <v>125785.8</v>
      </c>
      <c r="O766" s="42"/>
      <c r="P766" s="42">
        <f t="shared" si="78"/>
        <v>106598.13559322034</v>
      </c>
      <c r="Q766" s="42">
        <v>125785.8</v>
      </c>
    </row>
    <row r="767" spans="1:17" s="4" customFormat="1" ht="36.75" customHeight="1" x14ac:dyDescent="0.25">
      <c r="A767" s="18"/>
      <c r="B767" s="11" t="s">
        <v>1004</v>
      </c>
      <c r="C767" s="37" t="s">
        <v>1505</v>
      </c>
      <c r="D767" s="38"/>
      <c r="E767" s="38"/>
      <c r="F767" s="72"/>
      <c r="G767" s="34">
        <v>7558</v>
      </c>
      <c r="H767" s="37" t="s">
        <v>1232</v>
      </c>
      <c r="I767" s="42">
        <f t="shared" si="79"/>
        <v>84096.610169491527</v>
      </c>
      <c r="J767" s="42">
        <v>99234</v>
      </c>
      <c r="K767" s="42"/>
      <c r="L767" s="42"/>
      <c r="M767" s="42">
        <f t="shared" si="80"/>
        <v>84096.610169491527</v>
      </c>
      <c r="N767" s="42">
        <v>99234</v>
      </c>
      <c r="O767" s="42"/>
      <c r="P767" s="42">
        <f t="shared" si="78"/>
        <v>84096.610169491527</v>
      </c>
      <c r="Q767" s="42">
        <v>99234</v>
      </c>
    </row>
    <row r="768" spans="1:17" s="4" customFormat="1" ht="36.75" customHeight="1" x14ac:dyDescent="0.25">
      <c r="A768" s="18"/>
      <c r="B768" s="11" t="s">
        <v>1004</v>
      </c>
      <c r="C768" s="37" t="s">
        <v>1506</v>
      </c>
      <c r="D768" s="38"/>
      <c r="E768" s="38"/>
      <c r="F768" s="72"/>
      <c r="G768" s="34">
        <v>7641</v>
      </c>
      <c r="H768" s="37" t="s">
        <v>51</v>
      </c>
      <c r="I768" s="42">
        <f t="shared" si="79"/>
        <v>119856.61016949153</v>
      </c>
      <c r="J768" s="42">
        <v>141430.79999999999</v>
      </c>
      <c r="K768" s="42"/>
      <c r="L768" s="42"/>
      <c r="M768" s="42">
        <f t="shared" si="80"/>
        <v>119856.61016949153</v>
      </c>
      <c r="N768" s="42">
        <v>141430.79999999999</v>
      </c>
      <c r="O768" s="42"/>
      <c r="P768" s="42">
        <f t="shared" si="78"/>
        <v>119856.61016949153</v>
      </c>
      <c r="Q768" s="42">
        <v>141430.79999999999</v>
      </c>
    </row>
    <row r="769" spans="1:17" s="4" customFormat="1" ht="36.75" customHeight="1" x14ac:dyDescent="0.25">
      <c r="A769" s="18"/>
      <c r="B769" s="11" t="s">
        <v>1004</v>
      </c>
      <c r="C769" s="37" t="s">
        <v>1507</v>
      </c>
      <c r="D769" s="38"/>
      <c r="E769" s="38"/>
      <c r="F769" s="72"/>
      <c r="G769" s="34">
        <v>7941</v>
      </c>
      <c r="H769" s="37" t="s">
        <v>1233</v>
      </c>
      <c r="I769" s="42">
        <f t="shared" si="79"/>
        <v>15152.542372881357</v>
      </c>
      <c r="J769" s="42">
        <v>17880</v>
      </c>
      <c r="K769" s="42"/>
      <c r="L769" s="42"/>
      <c r="M769" s="42">
        <f t="shared" si="80"/>
        <v>15152.542372881357</v>
      </c>
      <c r="N769" s="42">
        <v>17880</v>
      </c>
      <c r="O769" s="42"/>
      <c r="P769" s="42">
        <f t="shared" si="78"/>
        <v>15152.542372881357</v>
      </c>
      <c r="Q769" s="42">
        <v>17880</v>
      </c>
    </row>
    <row r="770" spans="1:17" s="4" customFormat="1" ht="36.75" customHeight="1" x14ac:dyDescent="0.25">
      <c r="A770" s="18"/>
      <c r="B770" s="11" t="s">
        <v>1004</v>
      </c>
      <c r="C770" s="37" t="s">
        <v>1508</v>
      </c>
      <c r="D770" s="38"/>
      <c r="E770" s="38"/>
      <c r="F770" s="72"/>
      <c r="G770" s="34">
        <v>7967</v>
      </c>
      <c r="H770" s="37" t="s">
        <v>1234</v>
      </c>
      <c r="I770" s="42">
        <f t="shared" si="79"/>
        <v>109477.1186440678</v>
      </c>
      <c r="J770" s="42">
        <v>129183</v>
      </c>
      <c r="K770" s="42"/>
      <c r="L770" s="42"/>
      <c r="M770" s="42">
        <f t="shared" si="80"/>
        <v>109477.1186440678</v>
      </c>
      <c r="N770" s="42">
        <v>129183</v>
      </c>
      <c r="O770" s="42"/>
      <c r="P770" s="42">
        <f t="shared" si="78"/>
        <v>109477.1186440678</v>
      </c>
      <c r="Q770" s="42">
        <v>129183</v>
      </c>
    </row>
    <row r="771" spans="1:17" s="4" customFormat="1" ht="36.75" customHeight="1" x14ac:dyDescent="0.25">
      <c r="A771" s="18"/>
      <c r="B771" s="11" t="s">
        <v>1004</v>
      </c>
      <c r="C771" s="37" t="s">
        <v>1509</v>
      </c>
      <c r="D771" s="38"/>
      <c r="E771" s="38"/>
      <c r="F771" s="72"/>
      <c r="G771" s="34">
        <v>8013</v>
      </c>
      <c r="H771" s="37" t="s">
        <v>1235</v>
      </c>
      <c r="I771" s="42">
        <f t="shared" si="79"/>
        <v>114250.16949152543</v>
      </c>
      <c r="J771" s="42">
        <v>134815.20000000001</v>
      </c>
      <c r="K771" s="42"/>
      <c r="L771" s="42"/>
      <c r="M771" s="42">
        <f t="shared" si="80"/>
        <v>114250.16949152543</v>
      </c>
      <c r="N771" s="42">
        <v>134815.20000000001</v>
      </c>
      <c r="O771" s="42"/>
      <c r="P771" s="42">
        <f t="shared" si="78"/>
        <v>114250.16949152543</v>
      </c>
      <c r="Q771" s="42">
        <v>134815.20000000001</v>
      </c>
    </row>
    <row r="772" spans="1:17" s="4" customFormat="1" ht="36.75" customHeight="1" x14ac:dyDescent="0.25">
      <c r="A772" s="18"/>
      <c r="B772" s="11" t="s">
        <v>1004</v>
      </c>
      <c r="C772" s="37" t="s">
        <v>1510</v>
      </c>
      <c r="D772" s="38"/>
      <c r="E772" s="38"/>
      <c r="F772" s="72"/>
      <c r="G772" s="34">
        <v>8046</v>
      </c>
      <c r="H772" s="37" t="s">
        <v>1236</v>
      </c>
      <c r="I772" s="42">
        <f t="shared" si="79"/>
        <v>111977.28813559323</v>
      </c>
      <c r="J772" s="42">
        <v>132133.20000000001</v>
      </c>
      <c r="K772" s="42"/>
      <c r="L772" s="42"/>
      <c r="M772" s="42">
        <f t="shared" si="80"/>
        <v>111977.28813559323</v>
      </c>
      <c r="N772" s="42">
        <v>132133.20000000001</v>
      </c>
      <c r="O772" s="42"/>
      <c r="P772" s="42">
        <f t="shared" si="78"/>
        <v>111977.28813559323</v>
      </c>
      <c r="Q772" s="42">
        <v>132133.20000000001</v>
      </c>
    </row>
    <row r="773" spans="1:17" s="4" customFormat="1" ht="36.75" customHeight="1" x14ac:dyDescent="0.25">
      <c r="A773" s="18"/>
      <c r="B773" s="11" t="s">
        <v>1004</v>
      </c>
      <c r="C773" s="37" t="s">
        <v>1511</v>
      </c>
      <c r="D773" s="38"/>
      <c r="E773" s="38"/>
      <c r="F773" s="72"/>
      <c r="G773" s="34">
        <v>8177</v>
      </c>
      <c r="H773" s="37" t="s">
        <v>1237</v>
      </c>
      <c r="I773" s="42">
        <f t="shared" si="79"/>
        <v>120462.71186440678</v>
      </c>
      <c r="J773" s="42">
        <v>142146</v>
      </c>
      <c r="K773" s="42"/>
      <c r="L773" s="42"/>
      <c r="M773" s="42">
        <f t="shared" si="80"/>
        <v>120462.71186440678</v>
      </c>
      <c r="N773" s="42">
        <v>142146</v>
      </c>
      <c r="O773" s="42"/>
      <c r="P773" s="42">
        <f t="shared" si="78"/>
        <v>120462.71186440678</v>
      </c>
      <c r="Q773" s="42">
        <v>142146</v>
      </c>
    </row>
    <row r="774" spans="1:17" s="4" customFormat="1" ht="36.75" customHeight="1" x14ac:dyDescent="0.25">
      <c r="A774" s="18"/>
      <c r="B774" s="11" t="s">
        <v>1004</v>
      </c>
      <c r="C774" s="37" t="s">
        <v>1512</v>
      </c>
      <c r="D774" s="38"/>
      <c r="E774" s="38"/>
      <c r="F774" s="72"/>
      <c r="G774" s="34">
        <v>8464</v>
      </c>
      <c r="H774" s="37" t="s">
        <v>1238</v>
      </c>
      <c r="I774" s="42">
        <f t="shared" si="79"/>
        <v>122962.88135593222</v>
      </c>
      <c r="J774" s="42">
        <v>145096.20000000001</v>
      </c>
      <c r="K774" s="42"/>
      <c r="L774" s="42"/>
      <c r="M774" s="42">
        <f t="shared" si="80"/>
        <v>122962.88135593222</v>
      </c>
      <c r="N774" s="42">
        <v>145096.20000000001</v>
      </c>
      <c r="O774" s="42"/>
      <c r="P774" s="42">
        <f t="shared" si="78"/>
        <v>122962.88135593222</v>
      </c>
      <c r="Q774" s="42">
        <v>145096.20000000001</v>
      </c>
    </row>
    <row r="775" spans="1:17" s="4" customFormat="1" ht="36.75" customHeight="1" x14ac:dyDescent="0.25">
      <c r="A775" s="18"/>
      <c r="B775" s="11" t="s">
        <v>1004</v>
      </c>
      <c r="C775" s="37" t="s">
        <v>1513</v>
      </c>
      <c r="D775" s="38"/>
      <c r="E775" s="38"/>
      <c r="F775" s="72"/>
      <c r="G775" s="34">
        <v>8593</v>
      </c>
      <c r="H775" s="37" t="s">
        <v>1239</v>
      </c>
      <c r="I775" s="42">
        <f t="shared" si="79"/>
        <v>120462.71186440678</v>
      </c>
      <c r="J775" s="42">
        <v>142146</v>
      </c>
      <c r="K775" s="42"/>
      <c r="L775" s="42"/>
      <c r="M775" s="42">
        <f t="shared" si="80"/>
        <v>120462.71186440678</v>
      </c>
      <c r="N775" s="42">
        <v>142146</v>
      </c>
      <c r="O775" s="42"/>
      <c r="P775" s="42">
        <f t="shared" si="78"/>
        <v>120462.71186440678</v>
      </c>
      <c r="Q775" s="42">
        <v>142146</v>
      </c>
    </row>
    <row r="776" spans="1:17" s="4" customFormat="1" ht="36.75" customHeight="1" x14ac:dyDescent="0.25">
      <c r="A776" s="18"/>
      <c r="B776" s="11" t="s">
        <v>1004</v>
      </c>
      <c r="C776" s="37" t="s">
        <v>1514</v>
      </c>
      <c r="D776" s="38"/>
      <c r="E776" s="38"/>
      <c r="F776" s="72"/>
      <c r="G776" s="34">
        <v>8876</v>
      </c>
      <c r="H776" s="37" t="s">
        <v>1240</v>
      </c>
      <c r="I776" s="42">
        <f t="shared" si="79"/>
        <v>78868.983050847455</v>
      </c>
      <c r="J776" s="42">
        <v>93065.4</v>
      </c>
      <c r="K776" s="42"/>
      <c r="L776" s="42"/>
      <c r="M776" s="42">
        <f t="shared" si="80"/>
        <v>78868.983050847455</v>
      </c>
      <c r="N776" s="42">
        <v>93065.4</v>
      </c>
      <c r="O776" s="42"/>
      <c r="P776" s="42">
        <f t="shared" si="78"/>
        <v>78868.983050847455</v>
      </c>
      <c r="Q776" s="42">
        <v>93065.4</v>
      </c>
    </row>
    <row r="777" spans="1:17" s="4" customFormat="1" ht="36.75" customHeight="1" x14ac:dyDescent="0.25">
      <c r="A777" s="18"/>
      <c r="B777" s="11" t="s">
        <v>1004</v>
      </c>
      <c r="C777" s="37" t="s">
        <v>1515</v>
      </c>
      <c r="D777" s="38"/>
      <c r="E777" s="38"/>
      <c r="F777" s="72"/>
      <c r="G777" s="34">
        <v>8903</v>
      </c>
      <c r="H777" s="37" t="s">
        <v>1241</v>
      </c>
      <c r="I777" s="42">
        <f t="shared" si="79"/>
        <v>76368.813559322036</v>
      </c>
      <c r="J777" s="42">
        <v>90115.199999999997</v>
      </c>
      <c r="K777" s="42"/>
      <c r="L777" s="42"/>
      <c r="M777" s="42">
        <f t="shared" si="80"/>
        <v>76368.813559322036</v>
      </c>
      <c r="N777" s="42">
        <v>90115.199999999997</v>
      </c>
      <c r="O777" s="42"/>
      <c r="P777" s="42">
        <f t="shared" si="78"/>
        <v>76368.813559322036</v>
      </c>
      <c r="Q777" s="42">
        <v>90115.199999999997</v>
      </c>
    </row>
    <row r="778" spans="1:17" s="4" customFormat="1" ht="36.75" customHeight="1" x14ac:dyDescent="0.25">
      <c r="A778" s="18"/>
      <c r="B778" s="11" t="s">
        <v>1004</v>
      </c>
      <c r="C778" s="37" t="s">
        <v>1516</v>
      </c>
      <c r="D778" s="38"/>
      <c r="E778" s="38"/>
      <c r="F778" s="72"/>
      <c r="G778" s="34">
        <v>9332</v>
      </c>
      <c r="H778" s="37" t="s">
        <v>1060</v>
      </c>
      <c r="I778" s="42">
        <f t="shared" si="79"/>
        <v>60534.406779661025</v>
      </c>
      <c r="J778" s="42">
        <v>71430.600000000006</v>
      </c>
      <c r="K778" s="42"/>
      <c r="L778" s="42"/>
      <c r="M778" s="42">
        <f t="shared" si="80"/>
        <v>60534.406779661025</v>
      </c>
      <c r="N778" s="42">
        <v>71430.600000000006</v>
      </c>
      <c r="O778" s="42"/>
      <c r="P778" s="42">
        <f t="shared" si="78"/>
        <v>60534.406779661025</v>
      </c>
      <c r="Q778" s="42">
        <v>71430.600000000006</v>
      </c>
    </row>
    <row r="779" spans="1:17" s="4" customFormat="1" ht="36.75" customHeight="1" x14ac:dyDescent="0.25">
      <c r="A779" s="18"/>
      <c r="B779" s="11" t="s">
        <v>1004</v>
      </c>
      <c r="C779" s="37" t="s">
        <v>1517</v>
      </c>
      <c r="D779" s="38"/>
      <c r="E779" s="38"/>
      <c r="F779" s="72"/>
      <c r="G779" s="34">
        <v>9860</v>
      </c>
      <c r="H779" s="37" t="s">
        <v>1242</v>
      </c>
      <c r="I779" s="42">
        <f t="shared" si="79"/>
        <v>84248.135593220344</v>
      </c>
      <c r="J779" s="42">
        <v>99412.800000000003</v>
      </c>
      <c r="K779" s="42"/>
      <c r="L779" s="42"/>
      <c r="M779" s="42">
        <f t="shared" si="80"/>
        <v>84248.135593220344</v>
      </c>
      <c r="N779" s="42">
        <v>99412.800000000003</v>
      </c>
      <c r="O779" s="42"/>
      <c r="P779" s="42">
        <f t="shared" si="78"/>
        <v>84248.135593220344</v>
      </c>
      <c r="Q779" s="42">
        <v>99412.800000000003</v>
      </c>
    </row>
    <row r="780" spans="1:17" s="4" customFormat="1" ht="36.75" customHeight="1" x14ac:dyDescent="0.25">
      <c r="A780" s="18"/>
      <c r="B780" s="11" t="s">
        <v>1005</v>
      </c>
      <c r="C780" s="37" t="s">
        <v>1518</v>
      </c>
      <c r="D780" s="38"/>
      <c r="E780" s="38"/>
      <c r="F780" s="72"/>
      <c r="G780" s="34">
        <v>1693</v>
      </c>
      <c r="H780" s="37" t="s">
        <v>1213</v>
      </c>
      <c r="I780" s="42">
        <f t="shared" si="79"/>
        <v>8644.0677966101703</v>
      </c>
      <c r="J780" s="42">
        <v>10200</v>
      </c>
      <c r="K780" s="42"/>
      <c r="L780" s="42"/>
      <c r="M780" s="42">
        <f t="shared" si="80"/>
        <v>8644.0677966101703</v>
      </c>
      <c r="N780" s="42">
        <v>10200</v>
      </c>
      <c r="O780" s="42"/>
      <c r="P780" s="42">
        <f t="shared" si="78"/>
        <v>8644.0677966101703</v>
      </c>
      <c r="Q780" s="42">
        <v>10200</v>
      </c>
    </row>
    <row r="781" spans="1:17" s="4" customFormat="1" ht="36.75" customHeight="1" x14ac:dyDescent="0.25">
      <c r="A781" s="18"/>
      <c r="B781" s="11" t="s">
        <v>1006</v>
      </c>
      <c r="C781" s="37" t="s">
        <v>1519</v>
      </c>
      <c r="D781" s="38"/>
      <c r="E781" s="38"/>
      <c r="F781" s="72"/>
      <c r="G781" s="34">
        <v>1524</v>
      </c>
      <c r="H781" s="37" t="s">
        <v>1243</v>
      </c>
      <c r="I781" s="42">
        <f t="shared" si="79"/>
        <v>30227.542372881358</v>
      </c>
      <c r="J781" s="42">
        <v>35668.5</v>
      </c>
      <c r="K781" s="42"/>
      <c r="L781" s="42"/>
      <c r="M781" s="42">
        <f t="shared" si="80"/>
        <v>30227.542372881358</v>
      </c>
      <c r="N781" s="42">
        <v>35668.5</v>
      </c>
      <c r="O781" s="42"/>
      <c r="P781" s="42">
        <f t="shared" si="78"/>
        <v>30227.542372881358</v>
      </c>
      <c r="Q781" s="42">
        <v>35668.5</v>
      </c>
    </row>
    <row r="782" spans="1:17" s="4" customFormat="1" ht="36.75" customHeight="1" x14ac:dyDescent="0.25">
      <c r="A782" s="18"/>
      <c r="B782" s="11" t="s">
        <v>1007</v>
      </c>
      <c r="C782" s="37" t="s">
        <v>1520</v>
      </c>
      <c r="D782" s="38"/>
      <c r="E782" s="38"/>
      <c r="F782" s="72"/>
      <c r="G782" s="34">
        <v>49</v>
      </c>
      <c r="H782" s="37" t="s">
        <v>1244</v>
      </c>
      <c r="I782" s="42">
        <f t="shared" si="79"/>
        <v>2779.6610169491528</v>
      </c>
      <c r="J782" s="42">
        <v>3280</v>
      </c>
      <c r="K782" s="42"/>
      <c r="L782" s="42"/>
      <c r="M782" s="42">
        <f t="shared" si="80"/>
        <v>2779.6610169491528</v>
      </c>
      <c r="N782" s="42">
        <v>3280</v>
      </c>
      <c r="O782" s="42"/>
      <c r="P782" s="42">
        <f t="shared" si="78"/>
        <v>2779.6610169491528</v>
      </c>
      <c r="Q782" s="42">
        <v>3280</v>
      </c>
    </row>
    <row r="783" spans="1:17" s="4" customFormat="1" ht="36.75" customHeight="1" x14ac:dyDescent="0.25">
      <c r="A783" s="18"/>
      <c r="B783" s="11" t="s">
        <v>1007</v>
      </c>
      <c r="C783" s="37" t="s">
        <v>1521</v>
      </c>
      <c r="D783" s="38"/>
      <c r="E783" s="38"/>
      <c r="F783" s="72"/>
      <c r="G783" s="34">
        <v>257</v>
      </c>
      <c r="H783" s="37" t="s">
        <v>1245</v>
      </c>
      <c r="I783" s="42">
        <f t="shared" si="79"/>
        <v>2084.7457627118647</v>
      </c>
      <c r="J783" s="42">
        <v>2460</v>
      </c>
      <c r="K783" s="42"/>
      <c r="L783" s="42"/>
      <c r="M783" s="42">
        <f t="shared" si="80"/>
        <v>2084.7457627118647</v>
      </c>
      <c r="N783" s="42">
        <v>2460</v>
      </c>
      <c r="O783" s="42"/>
      <c r="P783" s="42">
        <f t="shared" si="78"/>
        <v>2084.7457627118647</v>
      </c>
      <c r="Q783" s="42">
        <v>2460</v>
      </c>
    </row>
    <row r="784" spans="1:17" s="4" customFormat="1" ht="36.75" customHeight="1" x14ac:dyDescent="0.25">
      <c r="A784" s="18"/>
      <c r="B784" s="11" t="s">
        <v>1008</v>
      </c>
      <c r="C784" s="37" t="s">
        <v>1522</v>
      </c>
      <c r="D784" s="38"/>
      <c r="E784" s="38"/>
      <c r="F784" s="72"/>
      <c r="G784" s="34">
        <v>2720</v>
      </c>
      <c r="H784" s="37" t="s">
        <v>1246</v>
      </c>
      <c r="I784" s="42">
        <f t="shared" si="79"/>
        <v>13559.322033898306</v>
      </c>
      <c r="J784" s="42">
        <v>16000</v>
      </c>
      <c r="K784" s="42"/>
      <c r="L784" s="42"/>
      <c r="M784" s="42">
        <f t="shared" si="80"/>
        <v>13559.322033898306</v>
      </c>
      <c r="N784" s="42">
        <v>16000</v>
      </c>
      <c r="O784" s="42"/>
      <c r="P784" s="42">
        <f t="shared" si="78"/>
        <v>13559.322033898306</v>
      </c>
      <c r="Q784" s="42">
        <v>16000</v>
      </c>
    </row>
    <row r="785" spans="1:17" s="4" customFormat="1" ht="36.75" customHeight="1" x14ac:dyDescent="0.25">
      <c r="A785" s="18"/>
      <c r="B785" s="11" t="s">
        <v>1008</v>
      </c>
      <c r="C785" s="37" t="s">
        <v>1523</v>
      </c>
      <c r="D785" s="38"/>
      <c r="E785" s="38"/>
      <c r="F785" s="72"/>
      <c r="G785" s="34">
        <v>2839</v>
      </c>
      <c r="H785" s="37" t="s">
        <v>1247</v>
      </c>
      <c r="I785" s="42">
        <f t="shared" si="79"/>
        <v>29788.135593220341</v>
      </c>
      <c r="J785" s="42">
        <v>35150</v>
      </c>
      <c r="K785" s="42"/>
      <c r="L785" s="42"/>
      <c r="M785" s="42">
        <f t="shared" si="80"/>
        <v>29788.135593220341</v>
      </c>
      <c r="N785" s="42">
        <v>35150</v>
      </c>
      <c r="O785" s="42"/>
      <c r="P785" s="42">
        <f t="shared" si="78"/>
        <v>29788.135593220341</v>
      </c>
      <c r="Q785" s="42">
        <v>35150</v>
      </c>
    </row>
    <row r="786" spans="1:17" s="4" customFormat="1" ht="36.75" customHeight="1" x14ac:dyDescent="0.25">
      <c r="A786" s="18"/>
      <c r="B786" s="11" t="s">
        <v>1009</v>
      </c>
      <c r="C786" s="37" t="s">
        <v>1524</v>
      </c>
      <c r="D786" s="38"/>
      <c r="E786" s="38"/>
      <c r="F786" s="72"/>
      <c r="G786" s="34">
        <v>3752</v>
      </c>
      <c r="H786" s="37" t="s">
        <v>1200</v>
      </c>
      <c r="I786" s="42">
        <v>11936</v>
      </c>
      <c r="J786" s="42">
        <v>11936</v>
      </c>
      <c r="K786" s="42"/>
      <c r="L786" s="42"/>
      <c r="M786" s="42">
        <v>11936</v>
      </c>
      <c r="N786" s="42">
        <v>11936</v>
      </c>
      <c r="O786" s="42"/>
      <c r="P786" s="42">
        <f t="shared" si="78"/>
        <v>11936</v>
      </c>
      <c r="Q786" s="42">
        <v>11936</v>
      </c>
    </row>
    <row r="787" spans="1:17" s="4" customFormat="1" ht="36.75" customHeight="1" x14ac:dyDescent="0.25">
      <c r="A787" s="18"/>
      <c r="B787" s="11" t="s">
        <v>1009</v>
      </c>
      <c r="C787" s="37" t="s">
        <v>1525</v>
      </c>
      <c r="D787" s="38"/>
      <c r="E787" s="38"/>
      <c r="F787" s="72"/>
      <c r="G787" s="34">
        <v>2</v>
      </c>
      <c r="H787" s="37" t="s">
        <v>1200</v>
      </c>
      <c r="I787" s="42">
        <v>2984</v>
      </c>
      <c r="J787" s="42">
        <v>2984</v>
      </c>
      <c r="K787" s="42"/>
      <c r="L787" s="42"/>
      <c r="M787" s="42">
        <v>2984</v>
      </c>
      <c r="N787" s="42">
        <v>2984</v>
      </c>
      <c r="O787" s="42"/>
      <c r="P787" s="42">
        <f t="shared" si="78"/>
        <v>2984</v>
      </c>
      <c r="Q787" s="42">
        <v>2984</v>
      </c>
    </row>
    <row r="788" spans="1:17" s="4" customFormat="1" ht="36.75" customHeight="1" x14ac:dyDescent="0.25">
      <c r="A788" s="18"/>
      <c r="B788" s="11" t="s">
        <v>1010</v>
      </c>
      <c r="C788" s="37" t="s">
        <v>1526</v>
      </c>
      <c r="D788" s="38"/>
      <c r="E788" s="38"/>
      <c r="F788" s="72"/>
      <c r="G788" s="34">
        <v>10027</v>
      </c>
      <c r="H788" s="37" t="s">
        <v>1117</v>
      </c>
      <c r="I788" s="42">
        <f>J788/1.18</f>
        <v>84745.762711864416</v>
      </c>
      <c r="J788" s="42">
        <v>100000</v>
      </c>
      <c r="K788" s="42"/>
      <c r="L788" s="42"/>
      <c r="M788" s="42">
        <f>N788/1.18</f>
        <v>84745.762711864416</v>
      </c>
      <c r="N788" s="42">
        <v>100000</v>
      </c>
      <c r="O788" s="42"/>
      <c r="P788" s="42">
        <f t="shared" si="78"/>
        <v>84745.762711864416</v>
      </c>
      <c r="Q788" s="42">
        <v>100000</v>
      </c>
    </row>
    <row r="789" spans="1:17" s="4" customFormat="1" ht="36.75" customHeight="1" x14ac:dyDescent="0.25">
      <c r="A789" s="18"/>
      <c r="B789" s="11" t="s">
        <v>1010</v>
      </c>
      <c r="C789" s="37" t="s">
        <v>1526</v>
      </c>
      <c r="D789" s="38"/>
      <c r="E789" s="38"/>
      <c r="F789" s="72"/>
      <c r="G789" s="34">
        <v>3473</v>
      </c>
      <c r="H789" s="37" t="s">
        <v>1248</v>
      </c>
      <c r="I789" s="42">
        <f>J789/1.18</f>
        <v>7288.1355932203396</v>
      </c>
      <c r="J789" s="42">
        <v>8600</v>
      </c>
      <c r="K789" s="42"/>
      <c r="L789" s="42"/>
      <c r="M789" s="42">
        <f>N789/1.18</f>
        <v>7288.1355932203396</v>
      </c>
      <c r="N789" s="42">
        <v>8600</v>
      </c>
      <c r="O789" s="42"/>
      <c r="P789" s="42">
        <f t="shared" si="78"/>
        <v>7288.1355932203396</v>
      </c>
      <c r="Q789" s="42">
        <v>8600</v>
      </c>
    </row>
    <row r="790" spans="1:17" s="4" customFormat="1" ht="36.75" customHeight="1" x14ac:dyDescent="0.25">
      <c r="A790" s="18"/>
      <c r="B790" s="11" t="s">
        <v>1011</v>
      </c>
      <c r="C790" s="37" t="s">
        <v>1527</v>
      </c>
      <c r="D790" s="38"/>
      <c r="E790" s="38"/>
      <c r="F790" s="72"/>
      <c r="G790" s="34">
        <v>6305</v>
      </c>
      <c r="H790" s="37" t="s">
        <v>1054</v>
      </c>
      <c r="I790" s="42">
        <f>J790/1.18</f>
        <v>73220.338983050853</v>
      </c>
      <c r="J790" s="42">
        <v>86400</v>
      </c>
      <c r="K790" s="42"/>
      <c r="L790" s="42"/>
      <c r="M790" s="42">
        <f>N790/1.18</f>
        <v>73220.338983050853</v>
      </c>
      <c r="N790" s="42">
        <v>86400</v>
      </c>
      <c r="O790" s="42"/>
      <c r="P790" s="42">
        <f t="shared" ref="P790:P853" si="81">M790</f>
        <v>73220.338983050853</v>
      </c>
      <c r="Q790" s="42">
        <v>86400</v>
      </c>
    </row>
    <row r="791" spans="1:17" s="4" customFormat="1" ht="36.75" customHeight="1" x14ac:dyDescent="0.25">
      <c r="A791" s="18"/>
      <c r="B791" s="11" t="s">
        <v>1012</v>
      </c>
      <c r="C791" s="37" t="s">
        <v>1528</v>
      </c>
      <c r="D791" s="38"/>
      <c r="E791" s="38"/>
      <c r="F791" s="72"/>
      <c r="G791" s="34">
        <v>3528</v>
      </c>
      <c r="H791" s="37" t="s">
        <v>1249</v>
      </c>
      <c r="I791" s="42">
        <f t="shared" ref="I791:I854" si="82">J791/1.18</f>
        <v>95576.271186440688</v>
      </c>
      <c r="J791" s="42">
        <v>112780</v>
      </c>
      <c r="K791" s="42"/>
      <c r="L791" s="42"/>
      <c r="M791" s="42">
        <f t="shared" ref="M791:M854" si="83">N791/1.18</f>
        <v>95576.271186440688</v>
      </c>
      <c r="N791" s="42">
        <v>112780</v>
      </c>
      <c r="O791" s="42"/>
      <c r="P791" s="42">
        <f t="shared" si="81"/>
        <v>95576.271186440688</v>
      </c>
      <c r="Q791" s="42">
        <v>112780</v>
      </c>
    </row>
    <row r="792" spans="1:17" s="4" customFormat="1" ht="36.75" customHeight="1" x14ac:dyDescent="0.25">
      <c r="A792" s="18"/>
      <c r="B792" s="11" t="s">
        <v>1012</v>
      </c>
      <c r="C792" s="37" t="s">
        <v>1528</v>
      </c>
      <c r="D792" s="38"/>
      <c r="E792" s="38"/>
      <c r="F792" s="72"/>
      <c r="G792" s="34">
        <v>3605</v>
      </c>
      <c r="H792" s="37" t="s">
        <v>1250</v>
      </c>
      <c r="I792" s="42">
        <f t="shared" si="82"/>
        <v>161216.52542372883</v>
      </c>
      <c r="J792" s="42">
        <v>190235.5</v>
      </c>
      <c r="K792" s="42"/>
      <c r="L792" s="42"/>
      <c r="M792" s="42">
        <f t="shared" si="83"/>
        <v>161216.52542372883</v>
      </c>
      <c r="N792" s="42">
        <v>190235.5</v>
      </c>
      <c r="O792" s="42"/>
      <c r="P792" s="42">
        <f t="shared" si="81"/>
        <v>161216.52542372883</v>
      </c>
      <c r="Q792" s="42">
        <v>190235.5</v>
      </c>
    </row>
    <row r="793" spans="1:17" s="4" customFormat="1" ht="36.75" customHeight="1" x14ac:dyDescent="0.25">
      <c r="A793" s="18"/>
      <c r="B793" s="11" t="s">
        <v>1012</v>
      </c>
      <c r="C793" s="37" t="s">
        <v>1529</v>
      </c>
      <c r="D793" s="38"/>
      <c r="E793" s="38"/>
      <c r="F793" s="72"/>
      <c r="G793" s="34">
        <v>6119</v>
      </c>
      <c r="H793" s="37" t="s">
        <v>1251</v>
      </c>
      <c r="I793" s="42">
        <f t="shared" si="82"/>
        <v>178305.08474576272</v>
      </c>
      <c r="J793" s="42">
        <v>210400</v>
      </c>
      <c r="K793" s="42"/>
      <c r="L793" s="42"/>
      <c r="M793" s="42">
        <f t="shared" si="83"/>
        <v>178305.08474576272</v>
      </c>
      <c r="N793" s="42">
        <v>210400</v>
      </c>
      <c r="O793" s="42"/>
      <c r="P793" s="42">
        <f t="shared" si="81"/>
        <v>178305.08474576272</v>
      </c>
      <c r="Q793" s="42">
        <v>210400</v>
      </c>
    </row>
    <row r="794" spans="1:17" s="4" customFormat="1" ht="36.75" customHeight="1" x14ac:dyDescent="0.25">
      <c r="A794" s="18"/>
      <c r="B794" s="11" t="s">
        <v>1012</v>
      </c>
      <c r="C794" s="37" t="s">
        <v>1530</v>
      </c>
      <c r="D794" s="38"/>
      <c r="E794" s="38"/>
      <c r="F794" s="72"/>
      <c r="G794" s="34">
        <v>6540</v>
      </c>
      <c r="H794" s="37" t="s">
        <v>1208</v>
      </c>
      <c r="I794" s="42">
        <f t="shared" si="82"/>
        <v>179979.66101694916</v>
      </c>
      <c r="J794" s="42">
        <v>212376</v>
      </c>
      <c r="K794" s="42"/>
      <c r="L794" s="42"/>
      <c r="M794" s="42">
        <f t="shared" si="83"/>
        <v>179979.66101694916</v>
      </c>
      <c r="N794" s="42">
        <v>212376</v>
      </c>
      <c r="O794" s="42"/>
      <c r="P794" s="42">
        <f t="shared" si="81"/>
        <v>179979.66101694916</v>
      </c>
      <c r="Q794" s="42">
        <v>212376</v>
      </c>
    </row>
    <row r="795" spans="1:17" s="4" customFormat="1" ht="36.75" customHeight="1" x14ac:dyDescent="0.25">
      <c r="A795" s="18"/>
      <c r="B795" s="11" t="s">
        <v>1012</v>
      </c>
      <c r="C795" s="37" t="s">
        <v>1531</v>
      </c>
      <c r="D795" s="38"/>
      <c r="E795" s="38"/>
      <c r="F795" s="72"/>
      <c r="G795" s="34">
        <v>8453</v>
      </c>
      <c r="H795" s="37" t="s">
        <v>1238</v>
      </c>
      <c r="I795" s="42">
        <f t="shared" si="82"/>
        <v>294162.71186440677</v>
      </c>
      <c r="J795" s="42">
        <v>347112</v>
      </c>
      <c r="K795" s="42"/>
      <c r="L795" s="42"/>
      <c r="M795" s="42">
        <f t="shared" si="83"/>
        <v>294162.71186440677</v>
      </c>
      <c r="N795" s="42">
        <v>347112</v>
      </c>
      <c r="O795" s="42"/>
      <c r="P795" s="42">
        <f t="shared" si="81"/>
        <v>294162.71186440677</v>
      </c>
      <c r="Q795" s="42">
        <v>347112</v>
      </c>
    </row>
    <row r="796" spans="1:17" s="4" customFormat="1" ht="36.75" customHeight="1" x14ac:dyDescent="0.25">
      <c r="A796" s="18"/>
      <c r="B796" s="11" t="s">
        <v>1013</v>
      </c>
      <c r="C796" s="37" t="s">
        <v>1532</v>
      </c>
      <c r="D796" s="38"/>
      <c r="E796" s="38"/>
      <c r="F796" s="72"/>
      <c r="G796" s="34">
        <v>438</v>
      </c>
      <c r="H796" s="49">
        <v>41299</v>
      </c>
      <c r="I796" s="42">
        <f t="shared" si="82"/>
        <v>13135.593220338984</v>
      </c>
      <c r="J796" s="42">
        <v>15500</v>
      </c>
      <c r="K796" s="42"/>
      <c r="L796" s="42"/>
      <c r="M796" s="42">
        <f t="shared" si="83"/>
        <v>13135.593220338984</v>
      </c>
      <c r="N796" s="42">
        <v>15500</v>
      </c>
      <c r="O796" s="42"/>
      <c r="P796" s="42">
        <f t="shared" si="81"/>
        <v>13135.593220338984</v>
      </c>
      <c r="Q796" s="42">
        <v>15500</v>
      </c>
    </row>
    <row r="797" spans="1:17" s="4" customFormat="1" ht="36.75" customHeight="1" x14ac:dyDescent="0.25">
      <c r="A797" s="18"/>
      <c r="B797" s="11" t="s">
        <v>1013</v>
      </c>
      <c r="C797" s="37"/>
      <c r="D797" s="38"/>
      <c r="E797" s="38"/>
      <c r="F797" s="72"/>
      <c r="G797" s="34">
        <v>11149</v>
      </c>
      <c r="H797" s="37" t="s">
        <v>1338</v>
      </c>
      <c r="I797" s="42">
        <f t="shared" si="82"/>
        <v>28813.5593220339</v>
      </c>
      <c r="J797" s="42">
        <v>34000</v>
      </c>
      <c r="K797" s="42"/>
      <c r="L797" s="42"/>
      <c r="M797" s="42">
        <f t="shared" si="83"/>
        <v>28813.5593220339</v>
      </c>
      <c r="N797" s="42">
        <v>34000</v>
      </c>
      <c r="O797" s="42"/>
      <c r="P797" s="42">
        <f t="shared" si="81"/>
        <v>28813.5593220339</v>
      </c>
      <c r="Q797" s="42">
        <v>34000</v>
      </c>
    </row>
    <row r="798" spans="1:17" s="4" customFormat="1" ht="36.75" customHeight="1" x14ac:dyDescent="0.25">
      <c r="A798" s="18"/>
      <c r="B798" s="11" t="s">
        <v>1014</v>
      </c>
      <c r="C798" s="37" t="s">
        <v>1533</v>
      </c>
      <c r="D798" s="38"/>
      <c r="E798" s="38"/>
      <c r="F798" s="72"/>
      <c r="G798" s="34">
        <v>4383</v>
      </c>
      <c r="H798" s="37" t="s">
        <v>1226</v>
      </c>
      <c r="I798" s="42">
        <f t="shared" si="82"/>
        <v>169491.52542372883</v>
      </c>
      <c r="J798" s="42">
        <v>200000</v>
      </c>
      <c r="K798" s="42"/>
      <c r="L798" s="42"/>
      <c r="M798" s="42">
        <f t="shared" si="83"/>
        <v>169491.52542372883</v>
      </c>
      <c r="N798" s="42">
        <v>200000</v>
      </c>
      <c r="O798" s="42"/>
      <c r="P798" s="42">
        <f t="shared" si="81"/>
        <v>169491.52542372883</v>
      </c>
      <c r="Q798" s="42">
        <v>200000</v>
      </c>
    </row>
    <row r="799" spans="1:17" s="4" customFormat="1" ht="36.75" customHeight="1" x14ac:dyDescent="0.25">
      <c r="A799" s="18"/>
      <c r="B799" s="11" t="s">
        <v>1014</v>
      </c>
      <c r="C799" s="37" t="s">
        <v>1533</v>
      </c>
      <c r="D799" s="38"/>
      <c r="E799" s="38"/>
      <c r="F799" s="72"/>
      <c r="G799" s="34">
        <v>4437</v>
      </c>
      <c r="H799" s="37" t="s">
        <v>1252</v>
      </c>
      <c r="I799" s="42">
        <f t="shared" si="82"/>
        <v>254237.28813559323</v>
      </c>
      <c r="J799" s="42">
        <v>300000</v>
      </c>
      <c r="K799" s="42"/>
      <c r="L799" s="42"/>
      <c r="M799" s="42">
        <f t="shared" si="83"/>
        <v>254237.28813559323</v>
      </c>
      <c r="N799" s="42">
        <v>300000</v>
      </c>
      <c r="O799" s="42"/>
      <c r="P799" s="42">
        <f t="shared" si="81"/>
        <v>254237.28813559323</v>
      </c>
      <c r="Q799" s="42">
        <v>300000</v>
      </c>
    </row>
    <row r="800" spans="1:17" s="4" customFormat="1" ht="36.75" customHeight="1" x14ac:dyDescent="0.25">
      <c r="A800" s="18"/>
      <c r="B800" s="11" t="s">
        <v>1014</v>
      </c>
      <c r="C800" s="37" t="s">
        <v>1534</v>
      </c>
      <c r="D800" s="38"/>
      <c r="E800" s="38"/>
      <c r="F800" s="72"/>
      <c r="G800" s="34">
        <v>4475</v>
      </c>
      <c r="H800" s="37" t="s">
        <v>1253</v>
      </c>
      <c r="I800" s="42">
        <f t="shared" si="82"/>
        <v>169491.52542372883</v>
      </c>
      <c r="J800" s="42">
        <v>200000</v>
      </c>
      <c r="K800" s="42"/>
      <c r="L800" s="42"/>
      <c r="M800" s="42">
        <f t="shared" si="83"/>
        <v>169491.52542372883</v>
      </c>
      <c r="N800" s="42">
        <v>200000</v>
      </c>
      <c r="O800" s="42"/>
      <c r="P800" s="42">
        <f t="shared" si="81"/>
        <v>169491.52542372883</v>
      </c>
      <c r="Q800" s="42">
        <v>200000</v>
      </c>
    </row>
    <row r="801" spans="1:17" s="4" customFormat="1" ht="36.75" customHeight="1" x14ac:dyDescent="0.25">
      <c r="A801" s="18"/>
      <c r="B801" s="11" t="s">
        <v>1015</v>
      </c>
      <c r="C801" s="37" t="s">
        <v>1535</v>
      </c>
      <c r="D801" s="38"/>
      <c r="E801" s="38"/>
      <c r="F801" s="72"/>
      <c r="G801" s="34">
        <v>3244</v>
      </c>
      <c r="H801" s="37" t="s">
        <v>1194</v>
      </c>
      <c r="I801" s="42">
        <f t="shared" si="82"/>
        <v>54762.711864406781</v>
      </c>
      <c r="J801" s="42">
        <v>64620</v>
      </c>
      <c r="K801" s="42"/>
      <c r="L801" s="42"/>
      <c r="M801" s="42">
        <f t="shared" si="83"/>
        <v>54762.711864406781</v>
      </c>
      <c r="N801" s="42">
        <v>64620</v>
      </c>
      <c r="O801" s="42"/>
      <c r="P801" s="42">
        <f t="shared" si="81"/>
        <v>54762.711864406781</v>
      </c>
      <c r="Q801" s="42">
        <v>64620</v>
      </c>
    </row>
    <row r="802" spans="1:17" s="4" customFormat="1" ht="36.75" customHeight="1" x14ac:dyDescent="0.25">
      <c r="A802" s="18"/>
      <c r="B802" s="11" t="s">
        <v>1016</v>
      </c>
      <c r="C802" s="37" t="s">
        <v>1536</v>
      </c>
      <c r="D802" s="38"/>
      <c r="E802" s="38"/>
      <c r="F802" s="72"/>
      <c r="G802" s="34">
        <v>3935</v>
      </c>
      <c r="H802" s="37" t="s">
        <v>1195</v>
      </c>
      <c r="I802" s="42">
        <f t="shared" si="82"/>
        <v>60940.677966101699</v>
      </c>
      <c r="J802" s="42">
        <v>71910</v>
      </c>
      <c r="K802" s="42"/>
      <c r="L802" s="42"/>
      <c r="M802" s="42">
        <f t="shared" si="83"/>
        <v>60940.677966101699</v>
      </c>
      <c r="N802" s="42">
        <v>71910</v>
      </c>
      <c r="O802" s="42"/>
      <c r="P802" s="42">
        <f t="shared" si="81"/>
        <v>60940.677966101699</v>
      </c>
      <c r="Q802" s="42">
        <v>71910</v>
      </c>
    </row>
    <row r="803" spans="1:17" s="4" customFormat="1" ht="36.75" customHeight="1" x14ac:dyDescent="0.25">
      <c r="A803" s="18"/>
      <c r="B803" s="11" t="s">
        <v>1016</v>
      </c>
      <c r="C803" s="37" t="s">
        <v>1537</v>
      </c>
      <c r="D803" s="38"/>
      <c r="E803" s="38"/>
      <c r="F803" s="72"/>
      <c r="G803" s="34">
        <v>5066</v>
      </c>
      <c r="H803" s="37" t="s">
        <v>1050</v>
      </c>
      <c r="I803" s="42">
        <f t="shared" si="82"/>
        <v>60940.677966101699</v>
      </c>
      <c r="J803" s="42">
        <v>71910</v>
      </c>
      <c r="K803" s="42"/>
      <c r="L803" s="42"/>
      <c r="M803" s="42">
        <f t="shared" si="83"/>
        <v>60940.677966101699</v>
      </c>
      <c r="N803" s="42">
        <v>71910</v>
      </c>
      <c r="O803" s="42"/>
      <c r="P803" s="42">
        <f t="shared" si="81"/>
        <v>60940.677966101699</v>
      </c>
      <c r="Q803" s="42">
        <v>71910</v>
      </c>
    </row>
    <row r="804" spans="1:17" s="4" customFormat="1" ht="36.75" customHeight="1" x14ac:dyDescent="0.25">
      <c r="A804" s="18"/>
      <c r="B804" s="11" t="s">
        <v>1016</v>
      </c>
      <c r="C804" s="37" t="s">
        <v>1538</v>
      </c>
      <c r="D804" s="38"/>
      <c r="E804" s="38"/>
      <c r="F804" s="72"/>
      <c r="G804" s="34">
        <v>6225</v>
      </c>
      <c r="H804" s="37" t="s">
        <v>1216</v>
      </c>
      <c r="I804" s="42">
        <f t="shared" si="82"/>
        <v>108498.30508474576</v>
      </c>
      <c r="J804" s="42">
        <v>128028</v>
      </c>
      <c r="K804" s="42"/>
      <c r="L804" s="42"/>
      <c r="M804" s="42">
        <f t="shared" si="83"/>
        <v>108498.30508474576</v>
      </c>
      <c r="N804" s="42">
        <v>128028</v>
      </c>
      <c r="O804" s="42"/>
      <c r="P804" s="42">
        <f t="shared" si="81"/>
        <v>108498.30508474576</v>
      </c>
      <c r="Q804" s="42">
        <v>128028</v>
      </c>
    </row>
    <row r="805" spans="1:17" s="4" customFormat="1" ht="36.75" customHeight="1" x14ac:dyDescent="0.25">
      <c r="A805" s="18"/>
      <c r="B805" s="11" t="s">
        <v>1016</v>
      </c>
      <c r="C805" s="37" t="s">
        <v>1539</v>
      </c>
      <c r="D805" s="38"/>
      <c r="E805" s="38"/>
      <c r="F805" s="72"/>
      <c r="G805" s="34">
        <v>8041</v>
      </c>
      <c r="H805" s="37" t="s">
        <v>1235</v>
      </c>
      <c r="I805" s="42">
        <f t="shared" si="82"/>
        <v>60940.677966101699</v>
      </c>
      <c r="J805" s="42">
        <v>71910</v>
      </c>
      <c r="K805" s="42"/>
      <c r="L805" s="42"/>
      <c r="M805" s="42">
        <f t="shared" si="83"/>
        <v>60940.677966101699</v>
      </c>
      <c r="N805" s="42">
        <v>71910</v>
      </c>
      <c r="O805" s="42"/>
      <c r="P805" s="42">
        <f t="shared" si="81"/>
        <v>60940.677966101699</v>
      </c>
      <c r="Q805" s="42">
        <v>71910</v>
      </c>
    </row>
    <row r="806" spans="1:17" s="4" customFormat="1" ht="36.75" customHeight="1" x14ac:dyDescent="0.25">
      <c r="A806" s="18"/>
      <c r="B806" s="11" t="s">
        <v>1016</v>
      </c>
      <c r="C806" s="37" t="s">
        <v>1540</v>
      </c>
      <c r="D806" s="38"/>
      <c r="E806" s="38"/>
      <c r="F806" s="72"/>
      <c r="G806" s="34">
        <v>9919</v>
      </c>
      <c r="H806" s="37" t="s">
        <v>1254</v>
      </c>
      <c r="I806" s="42">
        <f t="shared" si="82"/>
        <v>116344.91525423729</v>
      </c>
      <c r="J806" s="42">
        <v>137287</v>
      </c>
      <c r="K806" s="42"/>
      <c r="L806" s="42"/>
      <c r="M806" s="42">
        <f t="shared" si="83"/>
        <v>116344.91525423729</v>
      </c>
      <c r="N806" s="42">
        <v>137287</v>
      </c>
      <c r="O806" s="42"/>
      <c r="P806" s="42">
        <f t="shared" si="81"/>
        <v>116344.91525423729</v>
      </c>
      <c r="Q806" s="42">
        <v>137287</v>
      </c>
    </row>
    <row r="807" spans="1:17" s="4" customFormat="1" ht="36.75" customHeight="1" x14ac:dyDescent="0.25">
      <c r="A807" s="18"/>
      <c r="B807" s="11" t="s">
        <v>1016</v>
      </c>
      <c r="C807" s="37" t="s">
        <v>1541</v>
      </c>
      <c r="D807" s="38"/>
      <c r="E807" s="38"/>
      <c r="F807" s="72"/>
      <c r="G807" s="34">
        <v>131</v>
      </c>
      <c r="H807" s="37" t="s">
        <v>1255</v>
      </c>
      <c r="I807" s="42">
        <f t="shared" si="82"/>
        <v>47079.661016949154</v>
      </c>
      <c r="J807" s="42">
        <v>55554</v>
      </c>
      <c r="K807" s="42"/>
      <c r="L807" s="42"/>
      <c r="M807" s="42">
        <f t="shared" si="83"/>
        <v>47079.661016949154</v>
      </c>
      <c r="N807" s="42">
        <v>55554</v>
      </c>
      <c r="O807" s="42"/>
      <c r="P807" s="42">
        <f t="shared" si="81"/>
        <v>47079.661016949154</v>
      </c>
      <c r="Q807" s="42">
        <v>55554</v>
      </c>
    </row>
    <row r="808" spans="1:17" s="4" customFormat="1" ht="36.75" customHeight="1" x14ac:dyDescent="0.25">
      <c r="A808" s="18"/>
      <c r="B808" s="11" t="s">
        <v>1016</v>
      </c>
      <c r="C808" s="37" t="s">
        <v>1542</v>
      </c>
      <c r="D808" s="38"/>
      <c r="E808" s="38"/>
      <c r="F808" s="72"/>
      <c r="G808" s="34">
        <v>1519</v>
      </c>
      <c r="H808" s="37" t="s">
        <v>1256</v>
      </c>
      <c r="I808" s="42">
        <f t="shared" si="82"/>
        <v>92327.118644067799</v>
      </c>
      <c r="J808" s="42">
        <v>108946</v>
      </c>
      <c r="K808" s="42"/>
      <c r="L808" s="42"/>
      <c r="M808" s="42">
        <f t="shared" si="83"/>
        <v>92327.118644067799</v>
      </c>
      <c r="N808" s="42">
        <v>108946</v>
      </c>
      <c r="O808" s="42"/>
      <c r="P808" s="42">
        <f t="shared" si="81"/>
        <v>92327.118644067799</v>
      </c>
      <c r="Q808" s="42">
        <v>108946</v>
      </c>
    </row>
    <row r="809" spans="1:17" s="4" customFormat="1" ht="36.75" customHeight="1" x14ac:dyDescent="0.25">
      <c r="A809" s="18"/>
      <c r="B809" s="11" t="s">
        <v>1016</v>
      </c>
      <c r="C809" s="37" t="s">
        <v>1543</v>
      </c>
      <c r="D809" s="38"/>
      <c r="E809" s="38"/>
      <c r="F809" s="72"/>
      <c r="G809" s="34">
        <v>2873</v>
      </c>
      <c r="H809" s="37" t="s">
        <v>1257</v>
      </c>
      <c r="I809" s="42">
        <f t="shared" si="82"/>
        <v>51859.322033898308</v>
      </c>
      <c r="J809" s="42">
        <v>61194</v>
      </c>
      <c r="K809" s="42"/>
      <c r="L809" s="42"/>
      <c r="M809" s="42">
        <f t="shared" si="83"/>
        <v>51859.322033898308</v>
      </c>
      <c r="N809" s="42">
        <v>61194</v>
      </c>
      <c r="O809" s="42"/>
      <c r="P809" s="42">
        <f t="shared" si="81"/>
        <v>51859.322033898308</v>
      </c>
      <c r="Q809" s="42">
        <v>61194</v>
      </c>
    </row>
    <row r="810" spans="1:17" s="4" customFormat="1" ht="36.75" customHeight="1" x14ac:dyDescent="0.25">
      <c r="A810" s="18"/>
      <c r="B810" s="11" t="s">
        <v>1016</v>
      </c>
      <c r="C810" s="37" t="s">
        <v>1544</v>
      </c>
      <c r="D810" s="38"/>
      <c r="E810" s="38"/>
      <c r="F810" s="72"/>
      <c r="G810" s="34">
        <v>6512</v>
      </c>
      <c r="H810" s="37" t="s">
        <v>1218</v>
      </c>
      <c r="I810" s="42">
        <f t="shared" si="82"/>
        <v>9989.4915254237294</v>
      </c>
      <c r="J810" s="42">
        <v>11787.6</v>
      </c>
      <c r="K810" s="42"/>
      <c r="L810" s="42"/>
      <c r="M810" s="42">
        <f t="shared" si="83"/>
        <v>9989.4915254237294</v>
      </c>
      <c r="N810" s="42">
        <v>11787.6</v>
      </c>
      <c r="O810" s="42"/>
      <c r="P810" s="42">
        <f t="shared" si="81"/>
        <v>9989.4915254237294</v>
      </c>
      <c r="Q810" s="42">
        <v>11787.6</v>
      </c>
    </row>
    <row r="811" spans="1:17" s="4" customFormat="1" ht="36.75" customHeight="1" x14ac:dyDescent="0.25">
      <c r="A811" s="18"/>
      <c r="B811" s="11" t="s">
        <v>1016</v>
      </c>
      <c r="C811" s="37" t="s">
        <v>1545</v>
      </c>
      <c r="D811" s="38"/>
      <c r="E811" s="38"/>
      <c r="F811" s="72"/>
      <c r="G811" s="34">
        <v>563</v>
      </c>
      <c r="H811" s="37" t="s">
        <v>1258</v>
      </c>
      <c r="I811" s="42">
        <f t="shared" si="82"/>
        <v>114353.38983050849</v>
      </c>
      <c r="J811" s="42">
        <v>134937</v>
      </c>
      <c r="K811" s="42"/>
      <c r="L811" s="42"/>
      <c r="M811" s="42">
        <f t="shared" si="83"/>
        <v>114353.38983050849</v>
      </c>
      <c r="N811" s="42">
        <v>134937</v>
      </c>
      <c r="O811" s="42"/>
      <c r="P811" s="42">
        <f t="shared" si="81"/>
        <v>114353.38983050849</v>
      </c>
      <c r="Q811" s="42">
        <v>134937</v>
      </c>
    </row>
    <row r="812" spans="1:17" s="4" customFormat="1" ht="36.75" customHeight="1" x14ac:dyDescent="0.25">
      <c r="A812" s="18"/>
      <c r="B812" s="11" t="s">
        <v>424</v>
      </c>
      <c r="C812" s="37" t="s">
        <v>1546</v>
      </c>
      <c r="D812" s="38"/>
      <c r="E812" s="38"/>
      <c r="F812" s="72"/>
      <c r="G812" s="34">
        <v>4721</v>
      </c>
      <c r="H812" s="37" t="s">
        <v>1259</v>
      </c>
      <c r="I812" s="42">
        <f t="shared" si="82"/>
        <v>50168.949152542373</v>
      </c>
      <c r="J812" s="42">
        <v>59199.360000000001</v>
      </c>
      <c r="K812" s="42"/>
      <c r="L812" s="42"/>
      <c r="M812" s="42">
        <f t="shared" si="83"/>
        <v>50168.949152542373</v>
      </c>
      <c r="N812" s="42">
        <v>59199.360000000001</v>
      </c>
      <c r="O812" s="42"/>
      <c r="P812" s="42">
        <f t="shared" si="81"/>
        <v>50168.949152542373</v>
      </c>
      <c r="Q812" s="42">
        <v>59199.360000000001</v>
      </c>
    </row>
    <row r="813" spans="1:17" s="4" customFormat="1" ht="36.75" customHeight="1" x14ac:dyDescent="0.25">
      <c r="A813" s="18"/>
      <c r="B813" s="11" t="s">
        <v>1017</v>
      </c>
      <c r="C813" s="37" t="s">
        <v>1547</v>
      </c>
      <c r="D813" s="38"/>
      <c r="E813" s="38"/>
      <c r="F813" s="72"/>
      <c r="G813" s="34">
        <v>9001</v>
      </c>
      <c r="H813" s="37" t="s">
        <v>1179</v>
      </c>
      <c r="I813" s="42">
        <f t="shared" si="82"/>
        <v>57805.084745762717</v>
      </c>
      <c r="J813" s="42">
        <v>68210</v>
      </c>
      <c r="K813" s="42"/>
      <c r="L813" s="42"/>
      <c r="M813" s="42">
        <f t="shared" si="83"/>
        <v>57805.084745762717</v>
      </c>
      <c r="N813" s="42">
        <v>68210</v>
      </c>
      <c r="O813" s="42"/>
      <c r="P813" s="42">
        <f t="shared" si="81"/>
        <v>57805.084745762717</v>
      </c>
      <c r="Q813" s="42">
        <v>68210</v>
      </c>
    </row>
    <row r="814" spans="1:17" s="4" customFormat="1" ht="36.75" customHeight="1" x14ac:dyDescent="0.25">
      <c r="A814" s="18"/>
      <c r="B814" s="11" t="s">
        <v>1018</v>
      </c>
      <c r="C814" s="37" t="s">
        <v>1548</v>
      </c>
      <c r="D814" s="38"/>
      <c r="E814" s="38"/>
      <c r="F814" s="72"/>
      <c r="G814" s="34">
        <v>2990</v>
      </c>
      <c r="H814" s="37" t="s">
        <v>1260</v>
      </c>
      <c r="I814" s="42">
        <f t="shared" si="82"/>
        <v>11106</v>
      </c>
      <c r="J814" s="42">
        <v>13105.08</v>
      </c>
      <c r="K814" s="42"/>
      <c r="L814" s="42"/>
      <c r="M814" s="42">
        <f t="shared" si="83"/>
        <v>11106</v>
      </c>
      <c r="N814" s="42">
        <v>13105.08</v>
      </c>
      <c r="O814" s="42"/>
      <c r="P814" s="42">
        <f t="shared" si="81"/>
        <v>11106</v>
      </c>
      <c r="Q814" s="42">
        <v>13105.08</v>
      </c>
    </row>
    <row r="815" spans="1:17" s="4" customFormat="1" ht="36.75" customHeight="1" x14ac:dyDescent="0.25">
      <c r="A815" s="18"/>
      <c r="B815" s="11" t="s">
        <v>1019</v>
      </c>
      <c r="C815" s="37" t="s">
        <v>1549</v>
      </c>
      <c r="D815" s="38"/>
      <c r="E815" s="38"/>
      <c r="F815" s="72"/>
      <c r="G815" s="34">
        <v>7652</v>
      </c>
      <c r="H815" s="37" t="s">
        <v>51</v>
      </c>
      <c r="I815" s="42">
        <f t="shared" si="82"/>
        <v>90593.220338983054</v>
      </c>
      <c r="J815" s="42">
        <v>106900</v>
      </c>
      <c r="K815" s="42"/>
      <c r="L815" s="42"/>
      <c r="M815" s="42">
        <f t="shared" si="83"/>
        <v>90593.220338983054</v>
      </c>
      <c r="N815" s="42">
        <v>106900</v>
      </c>
      <c r="O815" s="42"/>
      <c r="P815" s="42">
        <f t="shared" si="81"/>
        <v>90593.220338983054</v>
      </c>
      <c r="Q815" s="42">
        <v>106900</v>
      </c>
    </row>
    <row r="816" spans="1:17" s="4" customFormat="1" ht="36.75" customHeight="1" x14ac:dyDescent="0.25">
      <c r="A816" s="18"/>
      <c r="B816" s="11" t="s">
        <v>1020</v>
      </c>
      <c r="C816" s="37" t="s">
        <v>1550</v>
      </c>
      <c r="D816" s="38"/>
      <c r="E816" s="38"/>
      <c r="F816" s="72"/>
      <c r="G816" s="34">
        <v>3494</v>
      </c>
      <c r="H816" s="37" t="s">
        <v>1261</v>
      </c>
      <c r="I816" s="42">
        <f t="shared" si="82"/>
        <v>61871.186440677971</v>
      </c>
      <c r="J816" s="42">
        <v>73008</v>
      </c>
      <c r="K816" s="42"/>
      <c r="L816" s="42"/>
      <c r="M816" s="42">
        <f t="shared" si="83"/>
        <v>61871.186440677971</v>
      </c>
      <c r="N816" s="42">
        <v>73008</v>
      </c>
      <c r="O816" s="42"/>
      <c r="P816" s="42">
        <f t="shared" si="81"/>
        <v>61871.186440677971</v>
      </c>
      <c r="Q816" s="42">
        <v>73008</v>
      </c>
    </row>
    <row r="817" spans="1:17" s="4" customFormat="1" ht="36.75" customHeight="1" x14ac:dyDescent="0.25">
      <c r="A817" s="18"/>
      <c r="B817" s="11" t="s">
        <v>1021</v>
      </c>
      <c r="C817" s="37" t="s">
        <v>1551</v>
      </c>
      <c r="D817" s="38"/>
      <c r="E817" s="38"/>
      <c r="F817" s="72"/>
      <c r="G817" s="34">
        <v>7712</v>
      </c>
      <c r="H817" s="37" t="s">
        <v>1262</v>
      </c>
      <c r="I817" s="42">
        <f t="shared" si="82"/>
        <v>49144.067796610172</v>
      </c>
      <c r="J817" s="42">
        <v>57990</v>
      </c>
      <c r="K817" s="42"/>
      <c r="L817" s="42"/>
      <c r="M817" s="42">
        <f t="shared" si="83"/>
        <v>49144.067796610172</v>
      </c>
      <c r="N817" s="42">
        <v>57990</v>
      </c>
      <c r="O817" s="42"/>
      <c r="P817" s="42">
        <f t="shared" si="81"/>
        <v>49144.067796610172</v>
      </c>
      <c r="Q817" s="42">
        <v>57990</v>
      </c>
    </row>
    <row r="818" spans="1:17" s="4" customFormat="1" ht="36.75" customHeight="1" x14ac:dyDescent="0.25">
      <c r="A818" s="18"/>
      <c r="B818" s="11" t="s">
        <v>1022</v>
      </c>
      <c r="C818" s="37" t="s">
        <v>1552</v>
      </c>
      <c r="D818" s="38"/>
      <c r="E818" s="38"/>
      <c r="F818" s="72"/>
      <c r="G818" s="34">
        <v>455</v>
      </c>
      <c r="H818" s="37" t="s">
        <v>1263</v>
      </c>
      <c r="I818" s="42">
        <f t="shared" si="82"/>
        <v>20888.127118644072</v>
      </c>
      <c r="J818" s="42">
        <v>24647.99</v>
      </c>
      <c r="K818" s="42"/>
      <c r="L818" s="42"/>
      <c r="M818" s="42">
        <f t="shared" si="83"/>
        <v>20888.127118644072</v>
      </c>
      <c r="N818" s="42">
        <v>24647.99</v>
      </c>
      <c r="O818" s="42"/>
      <c r="P818" s="42">
        <f t="shared" si="81"/>
        <v>20888.127118644072</v>
      </c>
      <c r="Q818" s="42">
        <v>24647.99</v>
      </c>
    </row>
    <row r="819" spans="1:17" s="4" customFormat="1" ht="36.75" customHeight="1" x14ac:dyDescent="0.25">
      <c r="A819" s="18"/>
      <c r="B819" s="11" t="s">
        <v>1022</v>
      </c>
      <c r="C819" s="37" t="s">
        <v>1553</v>
      </c>
      <c r="D819" s="38"/>
      <c r="E819" s="38"/>
      <c r="F819" s="72"/>
      <c r="G819" s="34">
        <v>3588</v>
      </c>
      <c r="H819" s="37" t="s">
        <v>1072</v>
      </c>
      <c r="I819" s="42">
        <f t="shared" si="82"/>
        <v>32918.898305084753</v>
      </c>
      <c r="J819" s="42">
        <v>38844.300000000003</v>
      </c>
      <c r="K819" s="42"/>
      <c r="L819" s="42"/>
      <c r="M819" s="42">
        <f t="shared" si="83"/>
        <v>32918.898305084753</v>
      </c>
      <c r="N819" s="42">
        <v>38844.300000000003</v>
      </c>
      <c r="O819" s="42"/>
      <c r="P819" s="42">
        <f t="shared" si="81"/>
        <v>32918.898305084753</v>
      </c>
      <c r="Q819" s="42">
        <v>38844.300000000003</v>
      </c>
    </row>
    <row r="820" spans="1:17" s="4" customFormat="1" ht="36.75" customHeight="1" x14ac:dyDescent="0.25">
      <c r="A820" s="18"/>
      <c r="B820" s="11" t="s">
        <v>1022</v>
      </c>
      <c r="C820" s="37" t="s">
        <v>1554</v>
      </c>
      <c r="D820" s="38"/>
      <c r="E820" s="38"/>
      <c r="F820" s="72"/>
      <c r="G820" s="34">
        <v>8611</v>
      </c>
      <c r="H820" s="37" t="s">
        <v>1264</v>
      </c>
      <c r="I820" s="42">
        <f t="shared" si="82"/>
        <v>66257.991525423728</v>
      </c>
      <c r="J820" s="42">
        <v>78184.429999999993</v>
      </c>
      <c r="K820" s="42"/>
      <c r="L820" s="42"/>
      <c r="M820" s="42">
        <f t="shared" si="83"/>
        <v>66257.991525423728</v>
      </c>
      <c r="N820" s="42">
        <v>78184.429999999993</v>
      </c>
      <c r="O820" s="42"/>
      <c r="P820" s="42">
        <f t="shared" si="81"/>
        <v>66257.991525423728</v>
      </c>
      <c r="Q820" s="42">
        <v>78184.429999999993</v>
      </c>
    </row>
    <row r="821" spans="1:17" s="4" customFormat="1" ht="36.75" customHeight="1" x14ac:dyDescent="0.25">
      <c r="A821" s="18"/>
      <c r="B821" s="11" t="s">
        <v>1023</v>
      </c>
      <c r="C821" s="37" t="s">
        <v>1555</v>
      </c>
      <c r="D821" s="38"/>
      <c r="E821" s="38"/>
      <c r="F821" s="72"/>
      <c r="G821" s="34">
        <v>4952</v>
      </c>
      <c r="H821" s="37" t="s">
        <v>1081</v>
      </c>
      <c r="I821" s="42">
        <f t="shared" si="82"/>
        <v>169491.52542372883</v>
      </c>
      <c r="J821" s="42">
        <v>200000</v>
      </c>
      <c r="K821" s="42"/>
      <c r="L821" s="42"/>
      <c r="M821" s="42">
        <f t="shared" si="83"/>
        <v>169491.52542372883</v>
      </c>
      <c r="N821" s="42">
        <v>200000</v>
      </c>
      <c r="O821" s="42"/>
      <c r="P821" s="42">
        <f t="shared" si="81"/>
        <v>169491.52542372883</v>
      </c>
      <c r="Q821" s="42">
        <v>200000</v>
      </c>
    </row>
    <row r="822" spans="1:17" s="4" customFormat="1" ht="36.75" customHeight="1" x14ac:dyDescent="0.25">
      <c r="A822" s="18"/>
      <c r="B822" s="11" t="s">
        <v>1023</v>
      </c>
      <c r="C822" s="37" t="s">
        <v>1555</v>
      </c>
      <c r="D822" s="38"/>
      <c r="E822" s="38"/>
      <c r="F822" s="72"/>
      <c r="G822" s="34">
        <v>5043</v>
      </c>
      <c r="H822" s="37" t="s">
        <v>1265</v>
      </c>
      <c r="I822" s="42">
        <f t="shared" si="82"/>
        <v>127118.64406779662</v>
      </c>
      <c r="J822" s="42">
        <v>150000</v>
      </c>
      <c r="K822" s="42"/>
      <c r="L822" s="42"/>
      <c r="M822" s="42">
        <f t="shared" si="83"/>
        <v>127118.64406779662</v>
      </c>
      <c r="N822" s="42">
        <v>150000</v>
      </c>
      <c r="O822" s="42"/>
      <c r="P822" s="42">
        <f t="shared" si="81"/>
        <v>127118.64406779662</v>
      </c>
      <c r="Q822" s="42">
        <v>150000</v>
      </c>
    </row>
    <row r="823" spans="1:17" s="4" customFormat="1" ht="36.75" customHeight="1" x14ac:dyDescent="0.25">
      <c r="A823" s="18"/>
      <c r="B823" s="11" t="s">
        <v>1023</v>
      </c>
      <c r="C823" s="37" t="s">
        <v>1555</v>
      </c>
      <c r="D823" s="38"/>
      <c r="E823" s="38"/>
      <c r="F823" s="72"/>
      <c r="G823" s="34">
        <v>5091</v>
      </c>
      <c r="H823" s="37" t="s">
        <v>1170</v>
      </c>
      <c r="I823" s="42">
        <f t="shared" si="82"/>
        <v>148338.13559322036</v>
      </c>
      <c r="J823" s="42">
        <v>175039</v>
      </c>
      <c r="K823" s="42"/>
      <c r="L823" s="42"/>
      <c r="M823" s="42">
        <f t="shared" si="83"/>
        <v>148338.13559322036</v>
      </c>
      <c r="N823" s="42">
        <v>175039</v>
      </c>
      <c r="O823" s="42"/>
      <c r="P823" s="42">
        <f t="shared" si="81"/>
        <v>148338.13559322036</v>
      </c>
      <c r="Q823" s="42">
        <v>175039</v>
      </c>
    </row>
    <row r="824" spans="1:17" s="4" customFormat="1" ht="36.75" customHeight="1" x14ac:dyDescent="0.25">
      <c r="A824" s="18"/>
      <c r="B824" s="11" t="s">
        <v>1024</v>
      </c>
      <c r="C824" s="37" t="s">
        <v>1556</v>
      </c>
      <c r="D824" s="38"/>
      <c r="E824" s="38"/>
      <c r="F824" s="72"/>
      <c r="G824" s="34">
        <v>789</v>
      </c>
      <c r="H824" s="37" t="s">
        <v>1266</v>
      </c>
      <c r="I824" s="42">
        <f t="shared" si="82"/>
        <v>324576.27118644072</v>
      </c>
      <c r="J824" s="42">
        <v>383000</v>
      </c>
      <c r="K824" s="42"/>
      <c r="L824" s="42"/>
      <c r="M824" s="42">
        <f t="shared" si="83"/>
        <v>324576.27118644072</v>
      </c>
      <c r="N824" s="42">
        <v>383000</v>
      </c>
      <c r="O824" s="42"/>
      <c r="P824" s="42">
        <f t="shared" si="81"/>
        <v>324576.27118644072</v>
      </c>
      <c r="Q824" s="42">
        <v>383000</v>
      </c>
    </row>
    <row r="825" spans="1:17" s="4" customFormat="1" ht="36.75" customHeight="1" x14ac:dyDescent="0.25">
      <c r="A825" s="18"/>
      <c r="B825" s="11" t="s">
        <v>1024</v>
      </c>
      <c r="C825" s="37" t="s">
        <v>1557</v>
      </c>
      <c r="D825" s="38"/>
      <c r="E825" s="38"/>
      <c r="F825" s="72"/>
      <c r="G825" s="34">
        <v>2044</v>
      </c>
      <c r="H825" s="37" t="s">
        <v>1267</v>
      </c>
      <c r="I825" s="42">
        <f t="shared" si="82"/>
        <v>225121.18644067796</v>
      </c>
      <c r="J825" s="42">
        <v>265643</v>
      </c>
      <c r="K825" s="42"/>
      <c r="L825" s="42"/>
      <c r="M825" s="42">
        <f t="shared" si="83"/>
        <v>225121.18644067796</v>
      </c>
      <c r="N825" s="42">
        <v>265643</v>
      </c>
      <c r="O825" s="42"/>
      <c r="P825" s="42">
        <f t="shared" si="81"/>
        <v>225121.18644067796</v>
      </c>
      <c r="Q825" s="42">
        <v>265643</v>
      </c>
    </row>
    <row r="826" spans="1:17" s="4" customFormat="1" ht="36.75" customHeight="1" x14ac:dyDescent="0.25">
      <c r="A826" s="18"/>
      <c r="B826" s="11" t="s">
        <v>1024</v>
      </c>
      <c r="C826" s="37" t="s">
        <v>1558</v>
      </c>
      <c r="D826" s="38"/>
      <c r="E826" s="38"/>
      <c r="F826" s="72"/>
      <c r="G826" s="34">
        <v>2913</v>
      </c>
      <c r="H826" s="37" t="s">
        <v>1223</v>
      </c>
      <c r="I826" s="42">
        <f t="shared" si="82"/>
        <v>14461.016949152543</v>
      </c>
      <c r="J826" s="42">
        <v>17064</v>
      </c>
      <c r="K826" s="42"/>
      <c r="L826" s="42"/>
      <c r="M826" s="42">
        <f t="shared" si="83"/>
        <v>14461.016949152543</v>
      </c>
      <c r="N826" s="42">
        <v>17064</v>
      </c>
      <c r="O826" s="42"/>
      <c r="P826" s="42">
        <f t="shared" si="81"/>
        <v>14461.016949152543</v>
      </c>
      <c r="Q826" s="42">
        <v>17064</v>
      </c>
    </row>
    <row r="827" spans="1:17" s="4" customFormat="1" ht="36.75" customHeight="1" x14ac:dyDescent="0.25">
      <c r="A827" s="18"/>
      <c r="B827" s="11" t="s">
        <v>1024</v>
      </c>
      <c r="C827" s="37" t="s">
        <v>1559</v>
      </c>
      <c r="D827" s="38"/>
      <c r="E827" s="38"/>
      <c r="F827" s="72"/>
      <c r="G827" s="34">
        <v>3245</v>
      </c>
      <c r="H827" s="37" t="s">
        <v>1194</v>
      </c>
      <c r="I827" s="42">
        <f t="shared" si="82"/>
        <v>27778.898305084746</v>
      </c>
      <c r="J827" s="42">
        <v>32779.1</v>
      </c>
      <c r="K827" s="42"/>
      <c r="L827" s="42"/>
      <c r="M827" s="42">
        <f t="shared" si="83"/>
        <v>27778.898305084746</v>
      </c>
      <c r="N827" s="42">
        <v>32779.1</v>
      </c>
      <c r="O827" s="42"/>
      <c r="P827" s="42">
        <f t="shared" si="81"/>
        <v>27778.898305084746</v>
      </c>
      <c r="Q827" s="42">
        <v>32779.1</v>
      </c>
    </row>
    <row r="828" spans="1:17" s="4" customFormat="1" ht="36.75" customHeight="1" x14ac:dyDescent="0.25">
      <c r="A828" s="18"/>
      <c r="B828" s="11" t="s">
        <v>1024</v>
      </c>
      <c r="C828" s="37" t="s">
        <v>1560</v>
      </c>
      <c r="D828" s="38"/>
      <c r="E828" s="38"/>
      <c r="F828" s="72"/>
      <c r="G828" s="34">
        <v>5176</v>
      </c>
      <c r="H828" s="37" t="s">
        <v>1268</v>
      </c>
      <c r="I828" s="42">
        <f t="shared" si="82"/>
        <v>37044.491525423728</v>
      </c>
      <c r="J828" s="42">
        <v>43712.5</v>
      </c>
      <c r="K828" s="42"/>
      <c r="L828" s="42"/>
      <c r="M828" s="42">
        <f t="shared" si="83"/>
        <v>37044.491525423728</v>
      </c>
      <c r="N828" s="42">
        <v>43712.5</v>
      </c>
      <c r="O828" s="42"/>
      <c r="P828" s="42">
        <f t="shared" si="81"/>
        <v>37044.491525423728</v>
      </c>
      <c r="Q828" s="42">
        <v>43712.5</v>
      </c>
    </row>
    <row r="829" spans="1:17" s="4" customFormat="1" ht="36.75" customHeight="1" x14ac:dyDescent="0.25">
      <c r="A829" s="18"/>
      <c r="B829" s="11" t="s">
        <v>1024</v>
      </c>
      <c r="C829" s="37" t="s">
        <v>1561</v>
      </c>
      <c r="D829" s="38"/>
      <c r="E829" s="38"/>
      <c r="F829" s="72"/>
      <c r="G829" s="34">
        <v>6538</v>
      </c>
      <c r="H829" s="37" t="s">
        <v>1208</v>
      </c>
      <c r="I829" s="42">
        <f t="shared" si="82"/>
        <v>275240.67796610174</v>
      </c>
      <c r="J829" s="42">
        <v>324784</v>
      </c>
      <c r="K829" s="42"/>
      <c r="L829" s="42"/>
      <c r="M829" s="42">
        <f t="shared" si="83"/>
        <v>275240.67796610174</v>
      </c>
      <c r="N829" s="42">
        <v>324784</v>
      </c>
      <c r="O829" s="42"/>
      <c r="P829" s="42">
        <f t="shared" si="81"/>
        <v>275240.67796610174</v>
      </c>
      <c r="Q829" s="42">
        <v>324784</v>
      </c>
    </row>
    <row r="830" spans="1:17" s="4" customFormat="1" ht="36.75" customHeight="1" x14ac:dyDescent="0.25">
      <c r="A830" s="18"/>
      <c r="B830" s="11" t="s">
        <v>1024</v>
      </c>
      <c r="C830" s="37" t="s">
        <v>1562</v>
      </c>
      <c r="D830" s="38"/>
      <c r="E830" s="38"/>
      <c r="F830" s="72"/>
      <c r="G830" s="34">
        <v>8595</v>
      </c>
      <c r="H830" s="37" t="s">
        <v>1239</v>
      </c>
      <c r="I830" s="42">
        <f t="shared" si="82"/>
        <v>189477.96610169494</v>
      </c>
      <c r="J830" s="42">
        <v>223584</v>
      </c>
      <c r="K830" s="42"/>
      <c r="L830" s="42"/>
      <c r="M830" s="42">
        <f t="shared" si="83"/>
        <v>189477.96610169494</v>
      </c>
      <c r="N830" s="42">
        <v>223584</v>
      </c>
      <c r="O830" s="42"/>
      <c r="P830" s="42">
        <f t="shared" si="81"/>
        <v>189477.96610169494</v>
      </c>
      <c r="Q830" s="42">
        <v>223584</v>
      </c>
    </row>
    <row r="831" spans="1:17" s="4" customFormat="1" ht="36.75" customHeight="1" x14ac:dyDescent="0.25">
      <c r="A831" s="18"/>
      <c r="B831" s="11" t="s">
        <v>1024</v>
      </c>
      <c r="C831" s="37" t="s">
        <v>1563</v>
      </c>
      <c r="D831" s="38"/>
      <c r="E831" s="38"/>
      <c r="F831" s="72"/>
      <c r="G831" s="34">
        <v>9411</v>
      </c>
      <c r="H831" s="37" t="s">
        <v>1269</v>
      </c>
      <c r="I831" s="42">
        <f t="shared" si="82"/>
        <v>30427.118644067799</v>
      </c>
      <c r="J831" s="42">
        <v>35904</v>
      </c>
      <c r="K831" s="42"/>
      <c r="L831" s="42"/>
      <c r="M831" s="42">
        <f t="shared" si="83"/>
        <v>30427.118644067799</v>
      </c>
      <c r="N831" s="42">
        <v>35904</v>
      </c>
      <c r="O831" s="42"/>
      <c r="P831" s="42">
        <f t="shared" si="81"/>
        <v>30427.118644067799</v>
      </c>
      <c r="Q831" s="42">
        <v>35904</v>
      </c>
    </row>
    <row r="832" spans="1:17" s="4" customFormat="1" ht="36.75" customHeight="1" x14ac:dyDescent="0.25">
      <c r="A832" s="18"/>
      <c r="B832" s="11" t="s">
        <v>1024</v>
      </c>
      <c r="C832" s="37" t="s">
        <v>1564</v>
      </c>
      <c r="D832" s="38"/>
      <c r="E832" s="38"/>
      <c r="F832" s="72"/>
      <c r="G832" s="34">
        <v>9830</v>
      </c>
      <c r="H832" s="37" t="s">
        <v>1270</v>
      </c>
      <c r="I832" s="42">
        <f t="shared" si="82"/>
        <v>39027.118644067799</v>
      </c>
      <c r="J832" s="42">
        <v>46052</v>
      </c>
      <c r="K832" s="42"/>
      <c r="L832" s="42"/>
      <c r="M832" s="42">
        <f t="shared" si="83"/>
        <v>39027.118644067799</v>
      </c>
      <c r="N832" s="42">
        <v>46052</v>
      </c>
      <c r="O832" s="42"/>
      <c r="P832" s="42">
        <f t="shared" si="81"/>
        <v>39027.118644067799</v>
      </c>
      <c r="Q832" s="42">
        <v>46052</v>
      </c>
    </row>
    <row r="833" spans="1:17" s="4" customFormat="1" ht="36.75" customHeight="1" x14ac:dyDescent="0.25">
      <c r="A833" s="18"/>
      <c r="B833" s="11" t="s">
        <v>1024</v>
      </c>
      <c r="C833" s="37" t="s">
        <v>1565</v>
      </c>
      <c r="D833" s="38"/>
      <c r="E833" s="38"/>
      <c r="F833" s="72"/>
      <c r="G833" s="34">
        <v>9930</v>
      </c>
      <c r="H833" s="37" t="s">
        <v>1271</v>
      </c>
      <c r="I833" s="42">
        <f t="shared" si="82"/>
        <v>207663.22033898305</v>
      </c>
      <c r="J833" s="42">
        <v>245042.6</v>
      </c>
      <c r="K833" s="42"/>
      <c r="L833" s="42"/>
      <c r="M833" s="42">
        <f t="shared" si="83"/>
        <v>207663.22033898305</v>
      </c>
      <c r="N833" s="42">
        <v>245042.6</v>
      </c>
      <c r="O833" s="42"/>
      <c r="P833" s="42">
        <f t="shared" si="81"/>
        <v>207663.22033898305</v>
      </c>
      <c r="Q833" s="42">
        <v>245042.6</v>
      </c>
    </row>
    <row r="834" spans="1:17" s="4" customFormat="1" ht="36.75" customHeight="1" x14ac:dyDescent="0.25">
      <c r="A834" s="18"/>
      <c r="B834" s="11" t="s">
        <v>1024</v>
      </c>
      <c r="C834" s="37" t="s">
        <v>1566</v>
      </c>
      <c r="D834" s="38"/>
      <c r="E834" s="38"/>
      <c r="F834" s="72"/>
      <c r="G834" s="34">
        <v>145</v>
      </c>
      <c r="H834" s="37" t="s">
        <v>1272</v>
      </c>
      <c r="I834" s="42">
        <f t="shared" si="82"/>
        <v>14774.237288135593</v>
      </c>
      <c r="J834" s="42">
        <v>17433.599999999999</v>
      </c>
      <c r="K834" s="42"/>
      <c r="L834" s="42"/>
      <c r="M834" s="42">
        <f t="shared" si="83"/>
        <v>14774.237288135593</v>
      </c>
      <c r="N834" s="42">
        <v>17433.599999999999</v>
      </c>
      <c r="O834" s="42"/>
      <c r="P834" s="42">
        <f t="shared" si="81"/>
        <v>14774.237288135593</v>
      </c>
      <c r="Q834" s="42">
        <v>17433.599999999999</v>
      </c>
    </row>
    <row r="835" spans="1:17" s="4" customFormat="1" ht="36.75" customHeight="1" x14ac:dyDescent="0.25">
      <c r="A835" s="18"/>
      <c r="B835" s="11" t="s">
        <v>1024</v>
      </c>
      <c r="C835" s="37" t="s">
        <v>1567</v>
      </c>
      <c r="D835" s="38"/>
      <c r="E835" s="38"/>
      <c r="F835" s="72"/>
      <c r="G835" s="34">
        <v>1911</v>
      </c>
      <c r="H835" s="37" t="s">
        <v>1171</v>
      </c>
      <c r="I835" s="42">
        <f t="shared" si="82"/>
        <v>41110.169491525427</v>
      </c>
      <c r="J835" s="42">
        <v>48510</v>
      </c>
      <c r="K835" s="42"/>
      <c r="L835" s="42"/>
      <c r="M835" s="42">
        <f t="shared" si="83"/>
        <v>41110.169491525427</v>
      </c>
      <c r="N835" s="42">
        <v>48510</v>
      </c>
      <c r="O835" s="42"/>
      <c r="P835" s="42">
        <f t="shared" si="81"/>
        <v>41110.169491525427</v>
      </c>
      <c r="Q835" s="42">
        <v>48510</v>
      </c>
    </row>
    <row r="836" spans="1:17" s="4" customFormat="1" ht="36.75" customHeight="1" x14ac:dyDescent="0.25">
      <c r="A836" s="18"/>
      <c r="B836" s="11" t="s">
        <v>1024</v>
      </c>
      <c r="C836" s="37" t="s">
        <v>1568</v>
      </c>
      <c r="D836" s="38"/>
      <c r="E836" s="38"/>
      <c r="F836" s="72"/>
      <c r="G836" s="34">
        <v>5439</v>
      </c>
      <c r="H836" s="37" t="s">
        <v>1084</v>
      </c>
      <c r="I836" s="42">
        <f t="shared" si="82"/>
        <v>425827.11864406784</v>
      </c>
      <c r="J836" s="42">
        <v>502476</v>
      </c>
      <c r="K836" s="42"/>
      <c r="L836" s="42"/>
      <c r="M836" s="42">
        <f t="shared" si="83"/>
        <v>425827.11864406784</v>
      </c>
      <c r="N836" s="42">
        <v>502476</v>
      </c>
      <c r="O836" s="42"/>
      <c r="P836" s="42">
        <f t="shared" si="81"/>
        <v>425827.11864406784</v>
      </c>
      <c r="Q836" s="42">
        <v>502476</v>
      </c>
    </row>
    <row r="837" spans="1:17" s="4" customFormat="1" ht="36.75" customHeight="1" x14ac:dyDescent="0.25">
      <c r="A837" s="18"/>
      <c r="B837" s="11" t="s">
        <v>1024</v>
      </c>
      <c r="C837" s="37" t="s">
        <v>1569</v>
      </c>
      <c r="D837" s="38"/>
      <c r="E837" s="38"/>
      <c r="F837" s="72"/>
      <c r="G837" s="34">
        <v>6639</v>
      </c>
      <c r="H837" s="37" t="s">
        <v>1169</v>
      </c>
      <c r="I837" s="42">
        <f t="shared" si="82"/>
        <v>438125.42372881359</v>
      </c>
      <c r="J837" s="42">
        <v>516988</v>
      </c>
      <c r="K837" s="42"/>
      <c r="L837" s="42"/>
      <c r="M837" s="42">
        <f t="shared" si="83"/>
        <v>438125.42372881359</v>
      </c>
      <c r="N837" s="42">
        <v>516988</v>
      </c>
      <c r="O837" s="42"/>
      <c r="P837" s="42">
        <f t="shared" si="81"/>
        <v>438125.42372881359</v>
      </c>
      <c r="Q837" s="42">
        <v>516988</v>
      </c>
    </row>
    <row r="838" spans="1:17" s="4" customFormat="1" ht="36.75" customHeight="1" x14ac:dyDescent="0.25">
      <c r="A838" s="18"/>
      <c r="B838" s="11" t="s">
        <v>1025</v>
      </c>
      <c r="C838" s="37" t="s">
        <v>1570</v>
      </c>
      <c r="D838" s="38"/>
      <c r="E838" s="38"/>
      <c r="F838" s="72"/>
      <c r="G838" s="34">
        <v>7532</v>
      </c>
      <c r="H838" s="37" t="s">
        <v>1219</v>
      </c>
      <c r="I838" s="42">
        <f t="shared" si="82"/>
        <v>1058847.4576271188</v>
      </c>
      <c r="J838" s="42">
        <v>1249440</v>
      </c>
      <c r="K838" s="42"/>
      <c r="L838" s="42"/>
      <c r="M838" s="42">
        <f t="shared" si="83"/>
        <v>1058847.4576271188</v>
      </c>
      <c r="N838" s="42">
        <v>1249440</v>
      </c>
      <c r="O838" s="42"/>
      <c r="P838" s="42">
        <f t="shared" si="81"/>
        <v>1058847.4576271188</v>
      </c>
      <c r="Q838" s="42">
        <v>1249440</v>
      </c>
    </row>
    <row r="839" spans="1:17" s="4" customFormat="1" ht="36.75" customHeight="1" x14ac:dyDescent="0.25">
      <c r="A839" s="18"/>
      <c r="B839" s="11" t="s">
        <v>1024</v>
      </c>
      <c r="C839" s="37" t="s">
        <v>1571</v>
      </c>
      <c r="D839" s="38"/>
      <c r="E839" s="38"/>
      <c r="F839" s="72"/>
      <c r="G839" s="34">
        <v>9876</v>
      </c>
      <c r="H839" s="37" t="s">
        <v>1273</v>
      </c>
      <c r="I839" s="42">
        <f t="shared" si="82"/>
        <v>59372.923728813563</v>
      </c>
      <c r="J839" s="42">
        <v>70060.05</v>
      </c>
      <c r="K839" s="42"/>
      <c r="L839" s="42"/>
      <c r="M839" s="42">
        <f t="shared" si="83"/>
        <v>59372.923728813563</v>
      </c>
      <c r="N839" s="42">
        <v>70060.05</v>
      </c>
      <c r="O839" s="42"/>
      <c r="P839" s="42">
        <f t="shared" si="81"/>
        <v>59372.923728813563</v>
      </c>
      <c r="Q839" s="42">
        <v>70060.05</v>
      </c>
    </row>
    <row r="840" spans="1:17" s="4" customFormat="1" ht="36.75" customHeight="1" x14ac:dyDescent="0.25">
      <c r="A840" s="18"/>
      <c r="B840" s="11" t="s">
        <v>1026</v>
      </c>
      <c r="C840" s="37" t="s">
        <v>1572</v>
      </c>
      <c r="D840" s="38"/>
      <c r="E840" s="38"/>
      <c r="F840" s="72"/>
      <c r="G840" s="34">
        <v>1508</v>
      </c>
      <c r="H840" s="37" t="s">
        <v>1243</v>
      </c>
      <c r="I840" s="42">
        <f t="shared" si="82"/>
        <v>81322.03389830509</v>
      </c>
      <c r="J840" s="42">
        <v>95960</v>
      </c>
      <c r="K840" s="42"/>
      <c r="L840" s="42"/>
      <c r="M840" s="42">
        <f t="shared" si="83"/>
        <v>81322.03389830509</v>
      </c>
      <c r="N840" s="42">
        <v>95960</v>
      </c>
      <c r="O840" s="42"/>
      <c r="P840" s="42">
        <f t="shared" si="81"/>
        <v>81322.03389830509</v>
      </c>
      <c r="Q840" s="42">
        <v>95960</v>
      </c>
    </row>
    <row r="841" spans="1:17" s="4" customFormat="1" ht="36.75" customHeight="1" x14ac:dyDescent="0.25">
      <c r="A841" s="18"/>
      <c r="B841" s="11" t="s">
        <v>1026</v>
      </c>
      <c r="C841" s="37" t="s">
        <v>1573</v>
      </c>
      <c r="D841" s="38"/>
      <c r="E841" s="38"/>
      <c r="F841" s="72"/>
      <c r="G841" s="34">
        <v>3993</v>
      </c>
      <c r="H841" s="37" t="s">
        <v>1274</v>
      </c>
      <c r="I841" s="42">
        <f t="shared" si="82"/>
        <v>14628.5593220339</v>
      </c>
      <c r="J841" s="42">
        <v>17261.7</v>
      </c>
      <c r="K841" s="42"/>
      <c r="L841" s="42"/>
      <c r="M841" s="42">
        <f t="shared" si="83"/>
        <v>14628.5593220339</v>
      </c>
      <c r="N841" s="42">
        <v>17261.7</v>
      </c>
      <c r="O841" s="42"/>
      <c r="P841" s="42">
        <f t="shared" si="81"/>
        <v>14628.5593220339</v>
      </c>
      <c r="Q841" s="42">
        <v>17261.7</v>
      </c>
    </row>
    <row r="842" spans="1:17" s="4" customFormat="1" ht="36.75" customHeight="1" x14ac:dyDescent="0.25">
      <c r="A842" s="18"/>
      <c r="B842" s="11" t="s">
        <v>1026</v>
      </c>
      <c r="C842" s="37" t="s">
        <v>1574</v>
      </c>
      <c r="D842" s="38"/>
      <c r="E842" s="38"/>
      <c r="F842" s="72"/>
      <c r="G842" s="34">
        <v>4001</v>
      </c>
      <c r="H842" s="37" t="s">
        <v>1274</v>
      </c>
      <c r="I842" s="42">
        <f t="shared" si="82"/>
        <v>43536.864406779663</v>
      </c>
      <c r="J842" s="42">
        <v>51373.5</v>
      </c>
      <c r="K842" s="42"/>
      <c r="L842" s="42"/>
      <c r="M842" s="42">
        <f t="shared" si="83"/>
        <v>43536.864406779663</v>
      </c>
      <c r="N842" s="42">
        <v>51373.5</v>
      </c>
      <c r="O842" s="42"/>
      <c r="P842" s="42">
        <f t="shared" si="81"/>
        <v>43536.864406779663</v>
      </c>
      <c r="Q842" s="42">
        <v>51373.5</v>
      </c>
    </row>
    <row r="843" spans="1:17" s="4" customFormat="1" ht="36.75" customHeight="1" x14ac:dyDescent="0.25">
      <c r="A843" s="18"/>
      <c r="B843" s="11" t="s">
        <v>1026</v>
      </c>
      <c r="C843" s="37" t="s">
        <v>1575</v>
      </c>
      <c r="D843" s="38"/>
      <c r="E843" s="38"/>
      <c r="F843" s="72"/>
      <c r="G843" s="34">
        <v>5067</v>
      </c>
      <c r="H843" s="37" t="s">
        <v>1050</v>
      </c>
      <c r="I843" s="42">
        <f t="shared" si="82"/>
        <v>42911.4406779661</v>
      </c>
      <c r="J843" s="42">
        <v>50635.5</v>
      </c>
      <c r="K843" s="42"/>
      <c r="L843" s="42"/>
      <c r="M843" s="42">
        <f t="shared" si="83"/>
        <v>42911.4406779661</v>
      </c>
      <c r="N843" s="42">
        <v>50635.5</v>
      </c>
      <c r="O843" s="42"/>
      <c r="P843" s="42">
        <f t="shared" si="81"/>
        <v>42911.4406779661</v>
      </c>
      <c r="Q843" s="42">
        <v>50635.5</v>
      </c>
    </row>
    <row r="844" spans="1:17" s="4" customFormat="1" ht="36.75" customHeight="1" x14ac:dyDescent="0.25">
      <c r="A844" s="18"/>
      <c r="B844" s="11" t="s">
        <v>1026</v>
      </c>
      <c r="C844" s="37" t="s">
        <v>1576</v>
      </c>
      <c r="D844" s="38"/>
      <c r="E844" s="38"/>
      <c r="F844" s="72"/>
      <c r="G844" s="34">
        <v>5237</v>
      </c>
      <c r="H844" s="37" t="s">
        <v>1275</v>
      </c>
      <c r="I844" s="42">
        <f t="shared" si="82"/>
        <v>6372.8813559322034</v>
      </c>
      <c r="J844" s="42">
        <v>7520</v>
      </c>
      <c r="K844" s="42"/>
      <c r="L844" s="42"/>
      <c r="M844" s="42">
        <f t="shared" si="83"/>
        <v>6372.8813559322034</v>
      </c>
      <c r="N844" s="42">
        <v>7520</v>
      </c>
      <c r="O844" s="42"/>
      <c r="P844" s="42">
        <f t="shared" si="81"/>
        <v>6372.8813559322034</v>
      </c>
      <c r="Q844" s="42">
        <v>7520</v>
      </c>
    </row>
    <row r="845" spans="1:17" s="4" customFormat="1" ht="36.75" customHeight="1" x14ac:dyDescent="0.25">
      <c r="A845" s="18"/>
      <c r="B845" s="11" t="s">
        <v>1027</v>
      </c>
      <c r="C845" s="37" t="s">
        <v>1577</v>
      </c>
      <c r="D845" s="38"/>
      <c r="E845" s="38"/>
      <c r="F845" s="72"/>
      <c r="G845" s="34">
        <v>8227</v>
      </c>
      <c r="H845" s="37" t="s">
        <v>1276</v>
      </c>
      <c r="I845" s="42">
        <f t="shared" si="82"/>
        <v>18449.152542372882</v>
      </c>
      <c r="J845" s="42">
        <v>21770</v>
      </c>
      <c r="K845" s="42"/>
      <c r="L845" s="42"/>
      <c r="M845" s="42">
        <f t="shared" si="83"/>
        <v>18449.152542372882</v>
      </c>
      <c r="N845" s="42">
        <v>21770</v>
      </c>
      <c r="O845" s="42"/>
      <c r="P845" s="42">
        <f t="shared" si="81"/>
        <v>18449.152542372882</v>
      </c>
      <c r="Q845" s="42">
        <v>21770</v>
      </c>
    </row>
    <row r="846" spans="1:17" s="4" customFormat="1" ht="36.75" customHeight="1" x14ac:dyDescent="0.25">
      <c r="A846" s="18"/>
      <c r="B846" s="11" t="s">
        <v>1027</v>
      </c>
      <c r="C846" s="37" t="s">
        <v>1578</v>
      </c>
      <c r="D846" s="38"/>
      <c r="E846" s="38"/>
      <c r="F846" s="72"/>
      <c r="G846" s="34">
        <v>8537</v>
      </c>
      <c r="H846" s="37" t="s">
        <v>1180</v>
      </c>
      <c r="I846" s="42">
        <f t="shared" si="82"/>
        <v>37771.186440677971</v>
      </c>
      <c r="J846" s="42">
        <v>44570</v>
      </c>
      <c r="K846" s="42"/>
      <c r="L846" s="42"/>
      <c r="M846" s="42">
        <f t="shared" si="83"/>
        <v>37771.186440677971</v>
      </c>
      <c r="N846" s="42">
        <v>44570</v>
      </c>
      <c r="O846" s="42"/>
      <c r="P846" s="42">
        <f t="shared" si="81"/>
        <v>37771.186440677971</v>
      </c>
      <c r="Q846" s="42">
        <v>44570</v>
      </c>
    </row>
    <row r="847" spans="1:17" s="4" customFormat="1" ht="36.75" customHeight="1" x14ac:dyDescent="0.25">
      <c r="A847" s="18"/>
      <c r="B847" s="11" t="s">
        <v>1027</v>
      </c>
      <c r="C847" s="37" t="s">
        <v>1579</v>
      </c>
      <c r="D847" s="38"/>
      <c r="E847" s="38"/>
      <c r="F847" s="72"/>
      <c r="G847" s="34">
        <v>9808</v>
      </c>
      <c r="H847" s="37" t="s">
        <v>1270</v>
      </c>
      <c r="I847" s="42">
        <f t="shared" si="82"/>
        <v>22949.152542372882</v>
      </c>
      <c r="J847" s="42">
        <v>27080</v>
      </c>
      <c r="K847" s="42"/>
      <c r="L847" s="42"/>
      <c r="M847" s="42">
        <f t="shared" si="83"/>
        <v>22949.152542372882</v>
      </c>
      <c r="N847" s="42">
        <v>27080</v>
      </c>
      <c r="O847" s="42"/>
      <c r="P847" s="42">
        <f t="shared" si="81"/>
        <v>22949.152542372882</v>
      </c>
      <c r="Q847" s="42">
        <v>27080</v>
      </c>
    </row>
    <row r="848" spans="1:17" s="4" customFormat="1" ht="36.75" customHeight="1" x14ac:dyDescent="0.25">
      <c r="A848" s="18"/>
      <c r="B848" s="11" t="s">
        <v>1027</v>
      </c>
      <c r="C848" s="37" t="s">
        <v>1580</v>
      </c>
      <c r="D848" s="38"/>
      <c r="E848" s="38"/>
      <c r="F848" s="72"/>
      <c r="G848" s="34">
        <v>2144</v>
      </c>
      <c r="H848" s="37" t="s">
        <v>1277</v>
      </c>
      <c r="I848" s="42">
        <f t="shared" si="82"/>
        <v>155338.98305084746</v>
      </c>
      <c r="J848" s="42">
        <v>183300</v>
      </c>
      <c r="K848" s="42"/>
      <c r="L848" s="42"/>
      <c r="M848" s="42">
        <f t="shared" si="83"/>
        <v>155338.98305084746</v>
      </c>
      <c r="N848" s="42">
        <v>183300</v>
      </c>
      <c r="O848" s="42"/>
      <c r="P848" s="42">
        <f t="shared" si="81"/>
        <v>155338.98305084746</v>
      </c>
      <c r="Q848" s="42">
        <v>183300</v>
      </c>
    </row>
    <row r="849" spans="1:17" s="4" customFormat="1" ht="36.75" customHeight="1" x14ac:dyDescent="0.25">
      <c r="A849" s="18"/>
      <c r="B849" s="11" t="s">
        <v>1027</v>
      </c>
      <c r="C849" s="37" t="s">
        <v>1580</v>
      </c>
      <c r="D849" s="38"/>
      <c r="E849" s="38"/>
      <c r="F849" s="72"/>
      <c r="G849" s="34">
        <v>2177</v>
      </c>
      <c r="H849" s="37" t="s">
        <v>1277</v>
      </c>
      <c r="I849" s="42">
        <f t="shared" si="82"/>
        <v>3220.3389830508477</v>
      </c>
      <c r="J849" s="42">
        <v>3800</v>
      </c>
      <c r="K849" s="42"/>
      <c r="L849" s="42"/>
      <c r="M849" s="42">
        <f t="shared" si="83"/>
        <v>3220.3389830508477</v>
      </c>
      <c r="N849" s="42">
        <v>3800</v>
      </c>
      <c r="O849" s="42"/>
      <c r="P849" s="42">
        <f t="shared" si="81"/>
        <v>3220.3389830508477</v>
      </c>
      <c r="Q849" s="42">
        <v>3800</v>
      </c>
    </row>
    <row r="850" spans="1:17" s="4" customFormat="1" ht="36.75" customHeight="1" x14ac:dyDescent="0.25">
      <c r="A850" s="18"/>
      <c r="B850" s="11" t="s">
        <v>1027</v>
      </c>
      <c r="C850" s="37" t="s">
        <v>1581</v>
      </c>
      <c r="D850" s="38"/>
      <c r="E850" s="38"/>
      <c r="F850" s="72"/>
      <c r="G850" s="34">
        <v>2951</v>
      </c>
      <c r="H850" s="37" t="s">
        <v>1069</v>
      </c>
      <c r="I850" s="42">
        <f t="shared" si="82"/>
        <v>77635.593220338982</v>
      </c>
      <c r="J850" s="42">
        <v>91610</v>
      </c>
      <c r="K850" s="42"/>
      <c r="L850" s="42"/>
      <c r="M850" s="42">
        <f t="shared" si="83"/>
        <v>77635.593220338982</v>
      </c>
      <c r="N850" s="42">
        <v>91610</v>
      </c>
      <c r="O850" s="42"/>
      <c r="P850" s="42">
        <f t="shared" si="81"/>
        <v>77635.593220338982</v>
      </c>
      <c r="Q850" s="42">
        <v>91610</v>
      </c>
    </row>
    <row r="851" spans="1:17" s="4" customFormat="1" ht="36.75" customHeight="1" x14ac:dyDescent="0.25">
      <c r="A851" s="18"/>
      <c r="B851" s="11" t="s">
        <v>1027</v>
      </c>
      <c r="C851" s="37" t="s">
        <v>1582</v>
      </c>
      <c r="D851" s="38"/>
      <c r="E851" s="38"/>
      <c r="F851" s="72"/>
      <c r="G851" s="34">
        <v>5068</v>
      </c>
      <c r="H851" s="37" t="s">
        <v>1170</v>
      </c>
      <c r="I851" s="42">
        <f t="shared" si="82"/>
        <v>82542.372881355943</v>
      </c>
      <c r="J851" s="42">
        <v>97400</v>
      </c>
      <c r="K851" s="42"/>
      <c r="L851" s="42"/>
      <c r="M851" s="42">
        <f t="shared" si="83"/>
        <v>82542.372881355943</v>
      </c>
      <c r="N851" s="42">
        <v>97400</v>
      </c>
      <c r="O851" s="42"/>
      <c r="P851" s="42">
        <f t="shared" si="81"/>
        <v>82542.372881355943</v>
      </c>
      <c r="Q851" s="42">
        <v>97400</v>
      </c>
    </row>
    <row r="852" spans="1:17" s="4" customFormat="1" ht="36.75" customHeight="1" x14ac:dyDescent="0.25">
      <c r="A852" s="18"/>
      <c r="B852" s="11" t="s">
        <v>1027</v>
      </c>
      <c r="C852" s="37" t="s">
        <v>1583</v>
      </c>
      <c r="D852" s="38"/>
      <c r="E852" s="38"/>
      <c r="F852" s="72"/>
      <c r="G852" s="34">
        <v>5480</v>
      </c>
      <c r="H852" s="37" t="s">
        <v>1278</v>
      </c>
      <c r="I852" s="42">
        <f t="shared" si="82"/>
        <v>81958.601694915254</v>
      </c>
      <c r="J852" s="42">
        <v>96711.15</v>
      </c>
      <c r="K852" s="42"/>
      <c r="L852" s="42"/>
      <c r="M852" s="42">
        <f t="shared" si="83"/>
        <v>81958.601694915254</v>
      </c>
      <c r="N852" s="42">
        <v>96711.15</v>
      </c>
      <c r="O852" s="42"/>
      <c r="P852" s="42">
        <f t="shared" si="81"/>
        <v>81958.601694915254</v>
      </c>
      <c r="Q852" s="42">
        <v>96711.15</v>
      </c>
    </row>
    <row r="853" spans="1:17" s="4" customFormat="1" ht="36.75" customHeight="1" x14ac:dyDescent="0.25">
      <c r="A853" s="18"/>
      <c r="B853" s="11" t="s">
        <v>1027</v>
      </c>
      <c r="C853" s="37" t="s">
        <v>1584</v>
      </c>
      <c r="D853" s="38"/>
      <c r="E853" s="38"/>
      <c r="F853" s="72"/>
      <c r="G853" s="34">
        <v>5757</v>
      </c>
      <c r="H853" s="37" t="s">
        <v>1279</v>
      </c>
      <c r="I853" s="42">
        <f t="shared" si="82"/>
        <v>157110.16949152542</v>
      </c>
      <c r="J853" s="42">
        <v>185390</v>
      </c>
      <c r="K853" s="42"/>
      <c r="L853" s="42"/>
      <c r="M853" s="42">
        <f t="shared" si="83"/>
        <v>157110.16949152542</v>
      </c>
      <c r="N853" s="42">
        <v>185390</v>
      </c>
      <c r="O853" s="42"/>
      <c r="P853" s="42">
        <f t="shared" si="81"/>
        <v>157110.16949152542</v>
      </c>
      <c r="Q853" s="42">
        <v>185390</v>
      </c>
    </row>
    <row r="854" spans="1:17" s="4" customFormat="1" ht="36.75" customHeight="1" x14ac:dyDescent="0.25">
      <c r="A854" s="18"/>
      <c r="B854" s="11" t="s">
        <v>1027</v>
      </c>
      <c r="C854" s="37" t="s">
        <v>1585</v>
      </c>
      <c r="D854" s="38"/>
      <c r="E854" s="38"/>
      <c r="F854" s="72"/>
      <c r="G854" s="34">
        <v>6023</v>
      </c>
      <c r="H854" s="37" t="s">
        <v>1280</v>
      </c>
      <c r="I854" s="42">
        <f t="shared" si="82"/>
        <v>32877.627118644072</v>
      </c>
      <c r="J854" s="42">
        <v>38795.599999999999</v>
      </c>
      <c r="K854" s="42"/>
      <c r="L854" s="42"/>
      <c r="M854" s="42">
        <f t="shared" si="83"/>
        <v>32877.627118644072</v>
      </c>
      <c r="N854" s="42">
        <v>38795.599999999999</v>
      </c>
      <c r="O854" s="42"/>
      <c r="P854" s="42">
        <f t="shared" ref="P854:P917" si="84">M854</f>
        <v>32877.627118644072</v>
      </c>
      <c r="Q854" s="42">
        <v>38795.599999999999</v>
      </c>
    </row>
    <row r="855" spans="1:17" s="4" customFormat="1" ht="36.75" customHeight="1" x14ac:dyDescent="0.25">
      <c r="A855" s="18"/>
      <c r="B855" s="11" t="s">
        <v>1027</v>
      </c>
      <c r="C855" s="37" t="s">
        <v>1586</v>
      </c>
      <c r="D855" s="38"/>
      <c r="E855" s="38"/>
      <c r="F855" s="72"/>
      <c r="G855" s="34">
        <v>7624</v>
      </c>
      <c r="H855" s="37" t="s">
        <v>1098</v>
      </c>
      <c r="I855" s="42">
        <f t="shared" ref="I855:I918" si="85">J855/1.18</f>
        <v>22020.338983050849</v>
      </c>
      <c r="J855" s="42">
        <v>25984</v>
      </c>
      <c r="K855" s="42"/>
      <c r="L855" s="42"/>
      <c r="M855" s="42">
        <f t="shared" ref="M855:M918" si="86">N855/1.18</f>
        <v>22020.338983050849</v>
      </c>
      <c r="N855" s="42">
        <v>25984</v>
      </c>
      <c r="O855" s="42"/>
      <c r="P855" s="42">
        <f t="shared" si="84"/>
        <v>22020.338983050849</v>
      </c>
      <c r="Q855" s="42">
        <v>25984</v>
      </c>
    </row>
    <row r="856" spans="1:17" s="4" customFormat="1" ht="36.75" customHeight="1" x14ac:dyDescent="0.25">
      <c r="A856" s="18"/>
      <c r="B856" s="11" t="s">
        <v>1027</v>
      </c>
      <c r="C856" s="37" t="s">
        <v>1587</v>
      </c>
      <c r="D856" s="38"/>
      <c r="E856" s="38"/>
      <c r="F856" s="72"/>
      <c r="G856" s="34">
        <v>9192</v>
      </c>
      <c r="H856" s="37" t="s">
        <v>1220</v>
      </c>
      <c r="I856" s="42">
        <f t="shared" si="85"/>
        <v>70074.576271186437</v>
      </c>
      <c r="J856" s="42">
        <v>82688</v>
      </c>
      <c r="K856" s="42"/>
      <c r="L856" s="42"/>
      <c r="M856" s="42">
        <f t="shared" si="86"/>
        <v>70074.576271186437</v>
      </c>
      <c r="N856" s="42">
        <v>82688</v>
      </c>
      <c r="O856" s="42"/>
      <c r="P856" s="42">
        <f t="shared" si="84"/>
        <v>70074.576271186437</v>
      </c>
      <c r="Q856" s="42">
        <v>82688</v>
      </c>
    </row>
    <row r="857" spans="1:17" s="4" customFormat="1" ht="36.75" customHeight="1" x14ac:dyDescent="0.25">
      <c r="A857" s="18"/>
      <c r="B857" s="11" t="s">
        <v>1027</v>
      </c>
      <c r="C857" s="37" t="s">
        <v>1588</v>
      </c>
      <c r="D857" s="38"/>
      <c r="E857" s="38"/>
      <c r="F857" s="72"/>
      <c r="G857" s="34">
        <v>16147</v>
      </c>
      <c r="H857" s="37" t="s">
        <v>1146</v>
      </c>
      <c r="I857" s="42">
        <f t="shared" si="85"/>
        <v>39766.949152542373</v>
      </c>
      <c r="J857" s="42">
        <v>46925</v>
      </c>
      <c r="K857" s="42"/>
      <c r="L857" s="42"/>
      <c r="M857" s="42">
        <f t="shared" si="86"/>
        <v>39766.949152542373</v>
      </c>
      <c r="N857" s="42">
        <v>46925</v>
      </c>
      <c r="O857" s="42"/>
      <c r="P857" s="42">
        <f t="shared" si="84"/>
        <v>39766.949152542373</v>
      </c>
      <c r="Q857" s="42">
        <v>46925</v>
      </c>
    </row>
    <row r="858" spans="1:17" s="4" customFormat="1" ht="36.75" customHeight="1" x14ac:dyDescent="0.25">
      <c r="A858" s="18"/>
      <c r="B858" s="11" t="s">
        <v>1027</v>
      </c>
      <c r="C858" s="37" t="s">
        <v>1589</v>
      </c>
      <c r="D858" s="38"/>
      <c r="E858" s="38"/>
      <c r="F858" s="72"/>
      <c r="G858" s="34">
        <v>948</v>
      </c>
      <c r="H858" s="37" t="s">
        <v>1121</v>
      </c>
      <c r="I858" s="42">
        <f t="shared" si="85"/>
        <v>38008.47457627119</v>
      </c>
      <c r="J858" s="42">
        <v>44850</v>
      </c>
      <c r="K858" s="42"/>
      <c r="L858" s="42"/>
      <c r="M858" s="42">
        <f t="shared" si="86"/>
        <v>38008.47457627119</v>
      </c>
      <c r="N858" s="42">
        <v>44850</v>
      </c>
      <c r="O858" s="42"/>
      <c r="P858" s="42">
        <f t="shared" si="84"/>
        <v>38008.47457627119</v>
      </c>
      <c r="Q858" s="42">
        <v>44850</v>
      </c>
    </row>
    <row r="859" spans="1:17" s="4" customFormat="1" ht="36.75" customHeight="1" x14ac:dyDescent="0.25">
      <c r="A859" s="18"/>
      <c r="B859" s="11" t="s">
        <v>1027</v>
      </c>
      <c r="C859" s="37" t="s">
        <v>1590</v>
      </c>
      <c r="D859" s="38"/>
      <c r="E859" s="38"/>
      <c r="F859" s="72"/>
      <c r="G859" s="34">
        <v>3040</v>
      </c>
      <c r="H859" s="37" t="s">
        <v>1202</v>
      </c>
      <c r="I859" s="42">
        <f t="shared" si="85"/>
        <v>27864.406779661018</v>
      </c>
      <c r="J859" s="42">
        <v>32880</v>
      </c>
      <c r="K859" s="42"/>
      <c r="L859" s="42"/>
      <c r="M859" s="42">
        <f t="shared" si="86"/>
        <v>27864.406779661018</v>
      </c>
      <c r="N859" s="42">
        <v>32880</v>
      </c>
      <c r="O859" s="42"/>
      <c r="P859" s="42">
        <f t="shared" si="84"/>
        <v>27864.406779661018</v>
      </c>
      <c r="Q859" s="42">
        <v>32880</v>
      </c>
    </row>
    <row r="860" spans="1:17" s="4" customFormat="1" ht="36.75" customHeight="1" x14ac:dyDescent="0.25">
      <c r="A860" s="18"/>
      <c r="B860" s="11" t="s">
        <v>1027</v>
      </c>
      <c r="C860" s="37" t="s">
        <v>1591</v>
      </c>
      <c r="D860" s="38"/>
      <c r="E860" s="38"/>
      <c r="F860" s="72"/>
      <c r="G860" s="34">
        <v>4272</v>
      </c>
      <c r="H860" s="37" t="s">
        <v>1151</v>
      </c>
      <c r="I860" s="42">
        <f t="shared" si="85"/>
        <v>45932.203389830509</v>
      </c>
      <c r="J860" s="42">
        <v>54200</v>
      </c>
      <c r="K860" s="42"/>
      <c r="L860" s="42"/>
      <c r="M860" s="42">
        <f t="shared" si="86"/>
        <v>45932.203389830509</v>
      </c>
      <c r="N860" s="42">
        <v>54200</v>
      </c>
      <c r="O860" s="42"/>
      <c r="P860" s="42">
        <f t="shared" si="84"/>
        <v>45932.203389830509</v>
      </c>
      <c r="Q860" s="42">
        <v>54200</v>
      </c>
    </row>
    <row r="861" spans="1:17" s="4" customFormat="1" ht="36.75" customHeight="1" x14ac:dyDescent="0.25">
      <c r="A861" s="18"/>
      <c r="B861" s="11" t="s">
        <v>1027</v>
      </c>
      <c r="C861" s="37" t="s">
        <v>1592</v>
      </c>
      <c r="D861" s="38"/>
      <c r="E861" s="38"/>
      <c r="F861" s="72"/>
      <c r="G861" s="34">
        <v>4594</v>
      </c>
      <c r="H861" s="37" t="s">
        <v>1136</v>
      </c>
      <c r="I861" s="42">
        <f t="shared" si="85"/>
        <v>57589.406779661018</v>
      </c>
      <c r="J861" s="42">
        <v>67955.5</v>
      </c>
      <c r="K861" s="42"/>
      <c r="L861" s="42"/>
      <c r="M861" s="42">
        <f t="shared" si="86"/>
        <v>57589.406779661018</v>
      </c>
      <c r="N861" s="42">
        <v>67955.5</v>
      </c>
      <c r="O861" s="42"/>
      <c r="P861" s="42">
        <f t="shared" si="84"/>
        <v>57589.406779661018</v>
      </c>
      <c r="Q861" s="42">
        <v>67955.5</v>
      </c>
    </row>
    <row r="862" spans="1:17" s="4" customFormat="1" ht="36.75" customHeight="1" x14ac:dyDescent="0.25">
      <c r="A862" s="18"/>
      <c r="B862" s="11" t="s">
        <v>1028</v>
      </c>
      <c r="C862" s="37" t="s">
        <v>1593</v>
      </c>
      <c r="D862" s="38"/>
      <c r="E862" s="38"/>
      <c r="F862" s="72"/>
      <c r="G862" s="34">
        <v>2033</v>
      </c>
      <c r="H862" s="37" t="s">
        <v>1267</v>
      </c>
      <c r="I862" s="42">
        <f t="shared" si="85"/>
        <v>67269.491525423728</v>
      </c>
      <c r="J862" s="42">
        <v>79378</v>
      </c>
      <c r="K862" s="42"/>
      <c r="L862" s="42"/>
      <c r="M862" s="42">
        <f t="shared" si="86"/>
        <v>67269.491525423728</v>
      </c>
      <c r="N862" s="42">
        <v>79378</v>
      </c>
      <c r="O862" s="42"/>
      <c r="P862" s="42">
        <f t="shared" si="84"/>
        <v>67269.491525423728</v>
      </c>
      <c r="Q862" s="42">
        <v>79378</v>
      </c>
    </row>
    <row r="863" spans="1:17" s="4" customFormat="1" ht="36.75" customHeight="1" x14ac:dyDescent="0.25">
      <c r="A863" s="18"/>
      <c r="B863" s="11" t="s">
        <v>1028</v>
      </c>
      <c r="C863" s="37" t="s">
        <v>1594</v>
      </c>
      <c r="D863" s="38"/>
      <c r="E863" s="38"/>
      <c r="F863" s="72"/>
      <c r="G863" s="34">
        <v>2162</v>
      </c>
      <c r="H863" s="37" t="s">
        <v>1281</v>
      </c>
      <c r="I863" s="42">
        <f t="shared" si="85"/>
        <v>16016.949152542375</v>
      </c>
      <c r="J863" s="42">
        <v>18900</v>
      </c>
      <c r="K863" s="42"/>
      <c r="L863" s="42"/>
      <c r="M863" s="42">
        <f t="shared" si="86"/>
        <v>16016.949152542375</v>
      </c>
      <c r="N863" s="42">
        <v>18900</v>
      </c>
      <c r="O863" s="42"/>
      <c r="P863" s="42">
        <f t="shared" si="84"/>
        <v>16016.949152542375</v>
      </c>
      <c r="Q863" s="42">
        <v>18900</v>
      </c>
    </row>
    <row r="864" spans="1:17" s="4" customFormat="1" ht="36.75" customHeight="1" x14ac:dyDescent="0.25">
      <c r="A864" s="18"/>
      <c r="B864" s="11" t="s">
        <v>1028</v>
      </c>
      <c r="C864" s="37" t="s">
        <v>1595</v>
      </c>
      <c r="D864" s="38"/>
      <c r="E864" s="38"/>
      <c r="F864" s="72"/>
      <c r="G864" s="34">
        <v>3888</v>
      </c>
      <c r="H864" s="37" t="s">
        <v>1282</v>
      </c>
      <c r="I864" s="42">
        <f t="shared" si="85"/>
        <v>110279.66101694916</v>
      </c>
      <c r="J864" s="42">
        <v>130130</v>
      </c>
      <c r="K864" s="42"/>
      <c r="L864" s="42"/>
      <c r="M864" s="42">
        <f t="shared" si="86"/>
        <v>110279.66101694916</v>
      </c>
      <c r="N864" s="42">
        <v>130130</v>
      </c>
      <c r="O864" s="42"/>
      <c r="P864" s="42">
        <f t="shared" si="84"/>
        <v>110279.66101694916</v>
      </c>
      <c r="Q864" s="42">
        <v>130130</v>
      </c>
    </row>
    <row r="865" spans="1:17" s="4" customFormat="1" ht="36.75" customHeight="1" x14ac:dyDescent="0.25">
      <c r="A865" s="18"/>
      <c r="B865" s="11" t="s">
        <v>1028</v>
      </c>
      <c r="C865" s="37" t="s">
        <v>1596</v>
      </c>
      <c r="D865" s="38"/>
      <c r="E865" s="38"/>
      <c r="F865" s="72"/>
      <c r="G865" s="34">
        <v>3887</v>
      </c>
      <c r="H865" s="37" t="s">
        <v>1282</v>
      </c>
      <c r="I865" s="42">
        <f t="shared" si="85"/>
        <v>5669.4915254237294</v>
      </c>
      <c r="J865" s="42">
        <v>6690</v>
      </c>
      <c r="K865" s="42"/>
      <c r="L865" s="42"/>
      <c r="M865" s="42">
        <f t="shared" si="86"/>
        <v>5669.4915254237294</v>
      </c>
      <c r="N865" s="42">
        <v>6690</v>
      </c>
      <c r="O865" s="42"/>
      <c r="P865" s="42">
        <f t="shared" si="84"/>
        <v>5669.4915254237294</v>
      </c>
      <c r="Q865" s="42">
        <v>6690</v>
      </c>
    </row>
    <row r="866" spans="1:17" s="4" customFormat="1" ht="36.75" customHeight="1" x14ac:dyDescent="0.25">
      <c r="A866" s="18"/>
      <c r="B866" s="11" t="s">
        <v>1028</v>
      </c>
      <c r="C866" s="37" t="s">
        <v>1597</v>
      </c>
      <c r="D866" s="38"/>
      <c r="E866" s="38"/>
      <c r="F866" s="72"/>
      <c r="G866" s="34">
        <v>6499</v>
      </c>
      <c r="H866" s="37" t="s">
        <v>1283</v>
      </c>
      <c r="I866" s="42">
        <f t="shared" si="85"/>
        <v>111016.94915254238</v>
      </c>
      <c r="J866" s="42">
        <v>131000</v>
      </c>
      <c r="K866" s="42"/>
      <c r="L866" s="42"/>
      <c r="M866" s="42">
        <f t="shared" si="86"/>
        <v>111016.94915254238</v>
      </c>
      <c r="N866" s="42">
        <v>131000</v>
      </c>
      <c r="O866" s="42"/>
      <c r="P866" s="42">
        <f t="shared" si="84"/>
        <v>111016.94915254238</v>
      </c>
      <c r="Q866" s="42">
        <v>131000</v>
      </c>
    </row>
    <row r="867" spans="1:17" s="4" customFormat="1" ht="36.75" customHeight="1" x14ac:dyDescent="0.25">
      <c r="A867" s="18"/>
      <c r="B867" s="11" t="s">
        <v>1028</v>
      </c>
      <c r="C867" s="37" t="s">
        <v>1598</v>
      </c>
      <c r="D867" s="38"/>
      <c r="E867" s="38"/>
      <c r="F867" s="72"/>
      <c r="G867" s="34">
        <v>6502</v>
      </c>
      <c r="H867" s="37" t="s">
        <v>1283</v>
      </c>
      <c r="I867" s="42">
        <f t="shared" si="85"/>
        <v>17966.101694915254</v>
      </c>
      <c r="J867" s="42">
        <v>21200</v>
      </c>
      <c r="K867" s="42"/>
      <c r="L867" s="42"/>
      <c r="M867" s="42">
        <f t="shared" si="86"/>
        <v>17966.101694915254</v>
      </c>
      <c r="N867" s="42">
        <v>21200</v>
      </c>
      <c r="O867" s="42"/>
      <c r="P867" s="42">
        <f t="shared" si="84"/>
        <v>17966.101694915254</v>
      </c>
      <c r="Q867" s="42">
        <v>21200</v>
      </c>
    </row>
    <row r="868" spans="1:17" s="4" customFormat="1" ht="36.75" customHeight="1" x14ac:dyDescent="0.25">
      <c r="A868" s="18"/>
      <c r="B868" s="11" t="s">
        <v>1028</v>
      </c>
      <c r="C868" s="37" t="s">
        <v>1599</v>
      </c>
      <c r="D868" s="38"/>
      <c r="E868" s="38"/>
      <c r="F868" s="72"/>
      <c r="G868" s="34">
        <v>7296</v>
      </c>
      <c r="H868" s="37" t="s">
        <v>1231</v>
      </c>
      <c r="I868" s="42">
        <f t="shared" si="85"/>
        <v>1779.6610169491526</v>
      </c>
      <c r="J868" s="42">
        <v>2100</v>
      </c>
      <c r="K868" s="42"/>
      <c r="L868" s="42"/>
      <c r="M868" s="42">
        <f t="shared" si="86"/>
        <v>1779.6610169491526</v>
      </c>
      <c r="N868" s="42">
        <v>2100</v>
      </c>
      <c r="O868" s="42"/>
      <c r="P868" s="42">
        <f t="shared" si="84"/>
        <v>1779.6610169491526</v>
      </c>
      <c r="Q868" s="42">
        <v>2100</v>
      </c>
    </row>
    <row r="869" spans="1:17" s="4" customFormat="1" ht="36.75" customHeight="1" x14ac:dyDescent="0.25">
      <c r="A869" s="18"/>
      <c r="B869" s="11" t="s">
        <v>1028</v>
      </c>
      <c r="C869" s="37" t="s">
        <v>1600</v>
      </c>
      <c r="D869" s="38"/>
      <c r="E869" s="38"/>
      <c r="F869" s="72"/>
      <c r="G869" s="34">
        <v>8785</v>
      </c>
      <c r="H869" s="37" t="s">
        <v>1284</v>
      </c>
      <c r="I869" s="42">
        <f t="shared" si="85"/>
        <v>53067.796610169491</v>
      </c>
      <c r="J869" s="42">
        <v>62620</v>
      </c>
      <c r="K869" s="42"/>
      <c r="L869" s="42"/>
      <c r="M869" s="42">
        <f t="shared" si="86"/>
        <v>53067.796610169491</v>
      </c>
      <c r="N869" s="42">
        <v>62620</v>
      </c>
      <c r="O869" s="42"/>
      <c r="P869" s="42">
        <f t="shared" si="84"/>
        <v>53067.796610169491</v>
      </c>
      <c r="Q869" s="42">
        <v>62620</v>
      </c>
    </row>
    <row r="870" spans="1:17" s="4" customFormat="1" ht="36.75" customHeight="1" x14ac:dyDescent="0.25">
      <c r="A870" s="18"/>
      <c r="B870" s="11" t="s">
        <v>1028</v>
      </c>
      <c r="C870" s="37" t="s">
        <v>1601</v>
      </c>
      <c r="D870" s="38"/>
      <c r="E870" s="38"/>
      <c r="F870" s="72"/>
      <c r="G870" s="34">
        <v>8954</v>
      </c>
      <c r="H870" s="37" t="s">
        <v>1285</v>
      </c>
      <c r="I870" s="42">
        <f t="shared" si="85"/>
        <v>1101.6949152542375</v>
      </c>
      <c r="J870" s="42">
        <v>1300</v>
      </c>
      <c r="K870" s="42"/>
      <c r="L870" s="42"/>
      <c r="M870" s="42">
        <f t="shared" si="86"/>
        <v>1101.6949152542375</v>
      </c>
      <c r="N870" s="42">
        <v>1300</v>
      </c>
      <c r="O870" s="42"/>
      <c r="P870" s="42">
        <f t="shared" si="84"/>
        <v>1101.6949152542375</v>
      </c>
      <c r="Q870" s="42">
        <v>1300</v>
      </c>
    </row>
    <row r="871" spans="1:17" s="4" customFormat="1" ht="36.75" customHeight="1" x14ac:dyDescent="0.25">
      <c r="A871" s="18"/>
      <c r="B871" s="11" t="s">
        <v>1028</v>
      </c>
      <c r="C871" s="37" t="s">
        <v>1602</v>
      </c>
      <c r="D871" s="38"/>
      <c r="E871" s="38"/>
      <c r="F871" s="72"/>
      <c r="G871" s="34">
        <v>9669</v>
      </c>
      <c r="H871" s="37" t="s">
        <v>1286</v>
      </c>
      <c r="I871" s="42">
        <f t="shared" si="85"/>
        <v>4915.2542372881362</v>
      </c>
      <c r="J871" s="42">
        <v>5800</v>
      </c>
      <c r="K871" s="42"/>
      <c r="L871" s="42"/>
      <c r="M871" s="42">
        <f t="shared" si="86"/>
        <v>4915.2542372881362</v>
      </c>
      <c r="N871" s="42">
        <v>5800</v>
      </c>
      <c r="O871" s="42"/>
      <c r="P871" s="42">
        <f t="shared" si="84"/>
        <v>4915.2542372881362</v>
      </c>
      <c r="Q871" s="42">
        <v>5800</v>
      </c>
    </row>
    <row r="872" spans="1:17" s="4" customFormat="1" ht="36.75" customHeight="1" x14ac:dyDescent="0.25">
      <c r="A872" s="18"/>
      <c r="B872" s="11" t="s">
        <v>1028</v>
      </c>
      <c r="C872" s="37" t="s">
        <v>1603</v>
      </c>
      <c r="D872" s="38"/>
      <c r="E872" s="38"/>
      <c r="F872" s="72"/>
      <c r="G872" s="34">
        <v>9780</v>
      </c>
      <c r="H872" s="37" t="s">
        <v>1287</v>
      </c>
      <c r="I872" s="42">
        <f t="shared" si="85"/>
        <v>2118.6440677966102</v>
      </c>
      <c r="J872" s="42">
        <v>2500</v>
      </c>
      <c r="K872" s="42"/>
      <c r="L872" s="42"/>
      <c r="M872" s="42">
        <f t="shared" si="86"/>
        <v>2118.6440677966102</v>
      </c>
      <c r="N872" s="42">
        <v>2500</v>
      </c>
      <c r="O872" s="42"/>
      <c r="P872" s="42">
        <f t="shared" si="84"/>
        <v>2118.6440677966102</v>
      </c>
      <c r="Q872" s="42">
        <v>2500</v>
      </c>
    </row>
    <row r="873" spans="1:17" s="4" customFormat="1" ht="36.75" customHeight="1" x14ac:dyDescent="0.25">
      <c r="A873" s="18"/>
      <c r="B873" s="11" t="s">
        <v>1028</v>
      </c>
      <c r="C873" s="37" t="s">
        <v>1604</v>
      </c>
      <c r="D873" s="38"/>
      <c r="E873" s="38"/>
      <c r="F873" s="72"/>
      <c r="G873" s="34">
        <v>828</v>
      </c>
      <c r="H873" s="37" t="s">
        <v>1288</v>
      </c>
      <c r="I873" s="42">
        <f t="shared" si="85"/>
        <v>45461.864406779663</v>
      </c>
      <c r="J873" s="42">
        <v>53645</v>
      </c>
      <c r="K873" s="42"/>
      <c r="L873" s="42"/>
      <c r="M873" s="42">
        <f t="shared" si="86"/>
        <v>45461.864406779663</v>
      </c>
      <c r="N873" s="42">
        <v>53645</v>
      </c>
      <c r="O873" s="42"/>
      <c r="P873" s="42">
        <f t="shared" si="84"/>
        <v>45461.864406779663</v>
      </c>
      <c r="Q873" s="42">
        <v>53645</v>
      </c>
    </row>
    <row r="874" spans="1:17" s="4" customFormat="1" ht="36.75" customHeight="1" x14ac:dyDescent="0.25">
      <c r="A874" s="18"/>
      <c r="B874" s="11" t="s">
        <v>1028</v>
      </c>
      <c r="C874" s="37" t="s">
        <v>1605</v>
      </c>
      <c r="D874" s="38"/>
      <c r="E874" s="38"/>
      <c r="F874" s="72"/>
      <c r="G874" s="34">
        <v>1297</v>
      </c>
      <c r="H874" s="37" t="s">
        <v>1289</v>
      </c>
      <c r="I874" s="42">
        <f t="shared" si="85"/>
        <v>5377.1186440677966</v>
      </c>
      <c r="J874" s="42">
        <v>6345</v>
      </c>
      <c r="K874" s="42"/>
      <c r="L874" s="42"/>
      <c r="M874" s="42">
        <f t="shared" si="86"/>
        <v>5377.1186440677966</v>
      </c>
      <c r="N874" s="42">
        <v>6345</v>
      </c>
      <c r="O874" s="42"/>
      <c r="P874" s="42">
        <f t="shared" si="84"/>
        <v>5377.1186440677966</v>
      </c>
      <c r="Q874" s="42">
        <v>6345</v>
      </c>
    </row>
    <row r="875" spans="1:17" s="4" customFormat="1" ht="36.75" customHeight="1" x14ac:dyDescent="0.25">
      <c r="A875" s="18"/>
      <c r="B875" s="11" t="s">
        <v>1028</v>
      </c>
      <c r="C875" s="37" t="s">
        <v>1605</v>
      </c>
      <c r="D875" s="38"/>
      <c r="E875" s="38"/>
      <c r="F875" s="72"/>
      <c r="G875" s="34">
        <v>1936</v>
      </c>
      <c r="H875" s="37" t="s">
        <v>1171</v>
      </c>
      <c r="I875" s="42">
        <f t="shared" si="85"/>
        <v>5377.1186440677966</v>
      </c>
      <c r="J875" s="42">
        <v>6345</v>
      </c>
      <c r="K875" s="42"/>
      <c r="L875" s="42"/>
      <c r="M875" s="42">
        <f t="shared" si="86"/>
        <v>5377.1186440677966</v>
      </c>
      <c r="N875" s="42">
        <v>6345</v>
      </c>
      <c r="O875" s="42"/>
      <c r="P875" s="42">
        <f t="shared" si="84"/>
        <v>5377.1186440677966</v>
      </c>
      <c r="Q875" s="42">
        <v>6345</v>
      </c>
    </row>
    <row r="876" spans="1:17" s="4" customFormat="1" ht="36.75" customHeight="1" x14ac:dyDescent="0.25">
      <c r="A876" s="18"/>
      <c r="B876" s="11" t="s">
        <v>1028</v>
      </c>
      <c r="C876" s="37" t="s">
        <v>1606</v>
      </c>
      <c r="D876" s="38"/>
      <c r="E876" s="38"/>
      <c r="F876" s="72"/>
      <c r="G876" s="34">
        <v>3832</v>
      </c>
      <c r="H876" s="37" t="s">
        <v>1290</v>
      </c>
      <c r="I876" s="42">
        <f t="shared" si="85"/>
        <v>5252.5423728813566</v>
      </c>
      <c r="J876" s="42">
        <v>6198</v>
      </c>
      <c r="K876" s="42"/>
      <c r="L876" s="42"/>
      <c r="M876" s="42">
        <f t="shared" si="86"/>
        <v>5252.5423728813566</v>
      </c>
      <c r="N876" s="42">
        <v>6198</v>
      </c>
      <c r="O876" s="42"/>
      <c r="P876" s="42">
        <f t="shared" si="84"/>
        <v>5252.5423728813566</v>
      </c>
      <c r="Q876" s="42">
        <v>6198</v>
      </c>
    </row>
    <row r="877" spans="1:17" s="4" customFormat="1" ht="36.75" customHeight="1" x14ac:dyDescent="0.25">
      <c r="A877" s="18"/>
      <c r="B877" s="11" t="s">
        <v>1028</v>
      </c>
      <c r="C877" s="37" t="s">
        <v>1607</v>
      </c>
      <c r="D877" s="38"/>
      <c r="E877" s="38"/>
      <c r="F877" s="72"/>
      <c r="G877" s="34">
        <v>4365</v>
      </c>
      <c r="H877" s="37" t="s">
        <v>1139</v>
      </c>
      <c r="I877" s="42">
        <f t="shared" si="85"/>
        <v>33533.898305084746</v>
      </c>
      <c r="J877" s="42">
        <v>39570</v>
      </c>
      <c r="K877" s="42"/>
      <c r="L877" s="42"/>
      <c r="M877" s="42">
        <f t="shared" si="86"/>
        <v>33533.898305084746</v>
      </c>
      <c r="N877" s="42">
        <v>39570</v>
      </c>
      <c r="O877" s="42"/>
      <c r="P877" s="42">
        <f t="shared" si="84"/>
        <v>33533.898305084746</v>
      </c>
      <c r="Q877" s="42">
        <v>39570</v>
      </c>
    </row>
    <row r="878" spans="1:17" s="4" customFormat="1" ht="36.75" customHeight="1" x14ac:dyDescent="0.25">
      <c r="A878" s="18"/>
      <c r="B878" s="11" t="s">
        <v>1028</v>
      </c>
      <c r="C878" s="37" t="s">
        <v>1608</v>
      </c>
      <c r="D878" s="38"/>
      <c r="E878" s="38"/>
      <c r="F878" s="72"/>
      <c r="G878" s="34">
        <v>6449</v>
      </c>
      <c r="H878" s="37" t="s">
        <v>1091</v>
      </c>
      <c r="I878" s="42">
        <f t="shared" si="85"/>
        <v>847.45762711864415</v>
      </c>
      <c r="J878" s="42">
        <v>1000</v>
      </c>
      <c r="K878" s="42"/>
      <c r="L878" s="42"/>
      <c r="M878" s="42">
        <f t="shared" si="86"/>
        <v>847.45762711864415</v>
      </c>
      <c r="N878" s="42">
        <v>1000</v>
      </c>
      <c r="O878" s="42"/>
      <c r="P878" s="42">
        <f t="shared" si="84"/>
        <v>847.45762711864415</v>
      </c>
      <c r="Q878" s="42">
        <v>1000</v>
      </c>
    </row>
    <row r="879" spans="1:17" s="4" customFormat="1" ht="36.75" customHeight="1" x14ac:dyDescent="0.25">
      <c r="A879" s="18"/>
      <c r="B879" s="11" t="s">
        <v>1028</v>
      </c>
      <c r="C879" s="37" t="s">
        <v>1609</v>
      </c>
      <c r="D879" s="38"/>
      <c r="E879" s="38"/>
      <c r="F879" s="72"/>
      <c r="G879" s="34">
        <v>6665</v>
      </c>
      <c r="H879" s="37" t="s">
        <v>1169</v>
      </c>
      <c r="I879" s="42">
        <f t="shared" si="85"/>
        <v>95796.610169491527</v>
      </c>
      <c r="J879" s="42">
        <v>113040</v>
      </c>
      <c r="K879" s="42"/>
      <c r="L879" s="42"/>
      <c r="M879" s="42">
        <f t="shared" si="86"/>
        <v>95796.610169491527</v>
      </c>
      <c r="N879" s="42">
        <v>113040</v>
      </c>
      <c r="O879" s="42"/>
      <c r="P879" s="42">
        <f t="shared" si="84"/>
        <v>95796.610169491527</v>
      </c>
      <c r="Q879" s="42">
        <v>113040</v>
      </c>
    </row>
    <row r="880" spans="1:17" s="4" customFormat="1" ht="36.75" customHeight="1" x14ac:dyDescent="0.25">
      <c r="A880" s="18"/>
      <c r="B880" s="11" t="s">
        <v>1028</v>
      </c>
      <c r="C880" s="37" t="s">
        <v>1610</v>
      </c>
      <c r="D880" s="38"/>
      <c r="E880" s="38"/>
      <c r="F880" s="72"/>
      <c r="G880" s="34">
        <v>7255</v>
      </c>
      <c r="H880" s="37" t="s">
        <v>1291</v>
      </c>
      <c r="I880" s="42">
        <f t="shared" si="85"/>
        <v>5338.9830508474579</v>
      </c>
      <c r="J880" s="42">
        <v>6300</v>
      </c>
      <c r="K880" s="42"/>
      <c r="L880" s="42"/>
      <c r="M880" s="42">
        <f t="shared" si="86"/>
        <v>5338.9830508474579</v>
      </c>
      <c r="N880" s="42">
        <v>6300</v>
      </c>
      <c r="O880" s="42"/>
      <c r="P880" s="42">
        <f t="shared" si="84"/>
        <v>5338.9830508474579</v>
      </c>
      <c r="Q880" s="42">
        <v>6300</v>
      </c>
    </row>
    <row r="881" spans="1:17" s="4" customFormat="1" ht="36.75" customHeight="1" x14ac:dyDescent="0.25">
      <c r="A881" s="18"/>
      <c r="B881" s="11" t="s">
        <v>1028</v>
      </c>
      <c r="C881" s="37" t="s">
        <v>1611</v>
      </c>
      <c r="D881" s="38"/>
      <c r="E881" s="38"/>
      <c r="F881" s="72"/>
      <c r="G881" s="34">
        <v>7577</v>
      </c>
      <c r="H881" s="37" t="s">
        <v>1097</v>
      </c>
      <c r="I881" s="42">
        <f t="shared" si="85"/>
        <v>11525.423728813559</v>
      </c>
      <c r="J881" s="42">
        <v>13600</v>
      </c>
      <c r="K881" s="42"/>
      <c r="L881" s="42"/>
      <c r="M881" s="42">
        <f t="shared" si="86"/>
        <v>11525.423728813559</v>
      </c>
      <c r="N881" s="42">
        <v>13600</v>
      </c>
      <c r="O881" s="42"/>
      <c r="P881" s="42">
        <f t="shared" si="84"/>
        <v>11525.423728813559</v>
      </c>
      <c r="Q881" s="42">
        <v>13600</v>
      </c>
    </row>
    <row r="882" spans="1:17" s="4" customFormat="1" ht="36.75" customHeight="1" x14ac:dyDescent="0.25">
      <c r="A882" s="18"/>
      <c r="B882" s="11" t="s">
        <v>1028</v>
      </c>
      <c r="C882" s="37" t="s">
        <v>1611</v>
      </c>
      <c r="D882" s="38"/>
      <c r="E882" s="38"/>
      <c r="F882" s="72"/>
      <c r="G882" s="34">
        <v>7776</v>
      </c>
      <c r="H882" s="37" t="s">
        <v>1292</v>
      </c>
      <c r="I882" s="42">
        <f t="shared" si="85"/>
        <v>11525.423728813559</v>
      </c>
      <c r="J882" s="42">
        <v>13600</v>
      </c>
      <c r="K882" s="42"/>
      <c r="L882" s="42"/>
      <c r="M882" s="42">
        <f t="shared" si="86"/>
        <v>11525.423728813559</v>
      </c>
      <c r="N882" s="42">
        <v>13600</v>
      </c>
      <c r="O882" s="42"/>
      <c r="P882" s="42">
        <f t="shared" si="84"/>
        <v>11525.423728813559</v>
      </c>
      <c r="Q882" s="42">
        <v>13600</v>
      </c>
    </row>
    <row r="883" spans="1:17" s="4" customFormat="1" ht="36.75" customHeight="1" x14ac:dyDescent="0.25">
      <c r="A883" s="18"/>
      <c r="B883" s="11" t="s">
        <v>1028</v>
      </c>
      <c r="C883" s="37" t="s">
        <v>1612</v>
      </c>
      <c r="D883" s="38"/>
      <c r="E883" s="38"/>
      <c r="F883" s="72"/>
      <c r="G883" s="34">
        <v>9028</v>
      </c>
      <c r="H883" s="37" t="s">
        <v>1293</v>
      </c>
      <c r="I883" s="42">
        <f t="shared" si="85"/>
        <v>47759.322033898308</v>
      </c>
      <c r="J883" s="42">
        <v>56356</v>
      </c>
      <c r="K883" s="42"/>
      <c r="L883" s="42"/>
      <c r="M883" s="42">
        <f t="shared" si="86"/>
        <v>47759.322033898308</v>
      </c>
      <c r="N883" s="42">
        <v>56356</v>
      </c>
      <c r="O883" s="42"/>
      <c r="P883" s="42">
        <f t="shared" si="84"/>
        <v>47759.322033898308</v>
      </c>
      <c r="Q883" s="42">
        <v>56356</v>
      </c>
    </row>
    <row r="884" spans="1:17" s="4" customFormat="1" ht="36.75" customHeight="1" x14ac:dyDescent="0.25">
      <c r="A884" s="18"/>
      <c r="B884" s="11" t="s">
        <v>1028</v>
      </c>
      <c r="C884" s="37" t="s">
        <v>1613</v>
      </c>
      <c r="D884" s="38"/>
      <c r="E884" s="38"/>
      <c r="F884" s="72"/>
      <c r="G884" s="34">
        <v>9292</v>
      </c>
      <c r="H884" s="37" t="s">
        <v>1294</v>
      </c>
      <c r="I884" s="42">
        <f t="shared" si="85"/>
        <v>38135.593220338982</v>
      </c>
      <c r="J884" s="42">
        <v>45000</v>
      </c>
      <c r="K884" s="42"/>
      <c r="L884" s="42"/>
      <c r="M884" s="42">
        <f t="shared" si="86"/>
        <v>38135.593220338982</v>
      </c>
      <c r="N884" s="42">
        <v>45000</v>
      </c>
      <c r="O884" s="42"/>
      <c r="P884" s="42">
        <f t="shared" si="84"/>
        <v>38135.593220338982</v>
      </c>
      <c r="Q884" s="42">
        <v>45000</v>
      </c>
    </row>
    <row r="885" spans="1:17" s="4" customFormat="1" ht="36.75" customHeight="1" x14ac:dyDescent="0.25">
      <c r="A885" s="18"/>
      <c r="B885" s="11" t="s">
        <v>1029</v>
      </c>
      <c r="C885" s="37" t="s">
        <v>1614</v>
      </c>
      <c r="D885" s="38"/>
      <c r="E885" s="38"/>
      <c r="F885" s="72"/>
      <c r="G885" s="34">
        <v>1191</v>
      </c>
      <c r="H885" s="37" t="s">
        <v>1295</v>
      </c>
      <c r="I885" s="42">
        <f t="shared" si="85"/>
        <v>47615.50847457628</v>
      </c>
      <c r="J885" s="42">
        <v>56186.3</v>
      </c>
      <c r="K885" s="42"/>
      <c r="L885" s="42"/>
      <c r="M885" s="42">
        <f t="shared" si="86"/>
        <v>47615.50847457628</v>
      </c>
      <c r="N885" s="42">
        <v>56186.3</v>
      </c>
      <c r="O885" s="42"/>
      <c r="P885" s="42">
        <f t="shared" si="84"/>
        <v>47615.50847457628</v>
      </c>
      <c r="Q885" s="42">
        <v>56186.3</v>
      </c>
    </row>
    <row r="886" spans="1:17" s="4" customFormat="1" ht="36.75" customHeight="1" x14ac:dyDescent="0.25">
      <c r="A886" s="18"/>
      <c r="B886" s="11" t="s">
        <v>1029</v>
      </c>
      <c r="C886" s="37" t="s">
        <v>1614</v>
      </c>
      <c r="D886" s="38"/>
      <c r="E886" s="38"/>
      <c r="F886" s="72"/>
      <c r="G886" s="34">
        <v>1230</v>
      </c>
      <c r="H886" s="37" t="s">
        <v>1296</v>
      </c>
      <c r="I886" s="42">
        <f t="shared" si="85"/>
        <v>42372.881355932208</v>
      </c>
      <c r="J886" s="42">
        <v>50000</v>
      </c>
      <c r="K886" s="42"/>
      <c r="L886" s="42"/>
      <c r="M886" s="42">
        <f t="shared" si="86"/>
        <v>42372.881355932208</v>
      </c>
      <c r="N886" s="42">
        <v>50000</v>
      </c>
      <c r="O886" s="42"/>
      <c r="P886" s="42">
        <f t="shared" si="84"/>
        <v>42372.881355932208</v>
      </c>
      <c r="Q886" s="42">
        <v>50000</v>
      </c>
    </row>
    <row r="887" spans="1:17" s="4" customFormat="1" ht="36.75" customHeight="1" x14ac:dyDescent="0.25">
      <c r="A887" s="18"/>
      <c r="B887" s="11" t="s">
        <v>1029</v>
      </c>
      <c r="C887" s="37" t="s">
        <v>1614</v>
      </c>
      <c r="D887" s="38"/>
      <c r="E887" s="38"/>
      <c r="F887" s="72"/>
      <c r="G887" s="34">
        <v>2174</v>
      </c>
      <c r="H887" s="37" t="s">
        <v>1281</v>
      </c>
      <c r="I887" s="42">
        <f t="shared" si="85"/>
        <v>45222.03389830509</v>
      </c>
      <c r="J887" s="42">
        <v>53362</v>
      </c>
      <c r="K887" s="42"/>
      <c r="L887" s="42"/>
      <c r="M887" s="42">
        <f t="shared" si="86"/>
        <v>45222.03389830509</v>
      </c>
      <c r="N887" s="42">
        <v>53362</v>
      </c>
      <c r="O887" s="42"/>
      <c r="P887" s="42">
        <f t="shared" si="84"/>
        <v>45222.03389830509</v>
      </c>
      <c r="Q887" s="42">
        <v>53362</v>
      </c>
    </row>
    <row r="888" spans="1:17" s="4" customFormat="1" ht="36.75" customHeight="1" x14ac:dyDescent="0.25">
      <c r="A888" s="18"/>
      <c r="B888" s="11" t="s">
        <v>1029</v>
      </c>
      <c r="C888" s="37" t="s">
        <v>1614</v>
      </c>
      <c r="D888" s="38"/>
      <c r="E888" s="38"/>
      <c r="F888" s="72"/>
      <c r="G888" s="34">
        <v>2492</v>
      </c>
      <c r="H888" s="37" t="s">
        <v>1297</v>
      </c>
      <c r="I888" s="42">
        <f t="shared" si="85"/>
        <v>42372.881355932208</v>
      </c>
      <c r="J888" s="42">
        <v>50000</v>
      </c>
      <c r="K888" s="42"/>
      <c r="L888" s="42"/>
      <c r="M888" s="42">
        <f t="shared" si="86"/>
        <v>42372.881355932208</v>
      </c>
      <c r="N888" s="42">
        <v>50000</v>
      </c>
      <c r="O888" s="42"/>
      <c r="P888" s="42">
        <f t="shared" si="84"/>
        <v>42372.881355932208</v>
      </c>
      <c r="Q888" s="42">
        <v>50000</v>
      </c>
    </row>
    <row r="889" spans="1:17" s="4" customFormat="1" ht="36.75" customHeight="1" x14ac:dyDescent="0.25">
      <c r="A889" s="18"/>
      <c r="B889" s="11" t="s">
        <v>1029</v>
      </c>
      <c r="C889" s="37" t="s">
        <v>1614</v>
      </c>
      <c r="D889" s="38"/>
      <c r="E889" s="38"/>
      <c r="F889" s="72"/>
      <c r="G889" s="34">
        <v>2674</v>
      </c>
      <c r="H889" s="37" t="s">
        <v>1298</v>
      </c>
      <c r="I889" s="42">
        <f t="shared" si="85"/>
        <v>42372.881355932208</v>
      </c>
      <c r="J889" s="42">
        <v>50000</v>
      </c>
      <c r="K889" s="42"/>
      <c r="L889" s="42"/>
      <c r="M889" s="42">
        <f t="shared" si="86"/>
        <v>42372.881355932208</v>
      </c>
      <c r="N889" s="42">
        <v>50000</v>
      </c>
      <c r="O889" s="42"/>
      <c r="P889" s="42">
        <f t="shared" si="84"/>
        <v>42372.881355932208</v>
      </c>
      <c r="Q889" s="42">
        <v>50000</v>
      </c>
    </row>
    <row r="890" spans="1:17" s="4" customFormat="1" ht="36.75" customHeight="1" x14ac:dyDescent="0.25">
      <c r="A890" s="18"/>
      <c r="B890" s="11" t="s">
        <v>1029</v>
      </c>
      <c r="C890" s="37" t="s">
        <v>1614</v>
      </c>
      <c r="D890" s="38"/>
      <c r="E890" s="38"/>
      <c r="F890" s="72"/>
      <c r="G890" s="34">
        <v>2713</v>
      </c>
      <c r="H890" s="37" t="s">
        <v>1246</v>
      </c>
      <c r="I890" s="42">
        <f t="shared" si="85"/>
        <v>42372.881355932208</v>
      </c>
      <c r="J890" s="42">
        <v>50000</v>
      </c>
      <c r="K890" s="42"/>
      <c r="L890" s="42"/>
      <c r="M890" s="42">
        <f t="shared" si="86"/>
        <v>42372.881355932208</v>
      </c>
      <c r="N890" s="42">
        <v>50000</v>
      </c>
      <c r="O890" s="42"/>
      <c r="P890" s="42">
        <f t="shared" si="84"/>
        <v>42372.881355932208</v>
      </c>
      <c r="Q890" s="42">
        <v>50000</v>
      </c>
    </row>
    <row r="891" spans="1:17" s="4" customFormat="1" ht="36.75" customHeight="1" x14ac:dyDescent="0.25">
      <c r="A891" s="18"/>
      <c r="B891" s="11" t="s">
        <v>1029</v>
      </c>
      <c r="C891" s="37" t="s">
        <v>1614</v>
      </c>
      <c r="D891" s="38"/>
      <c r="E891" s="38"/>
      <c r="F891" s="72"/>
      <c r="G891" s="34">
        <v>2757</v>
      </c>
      <c r="H891" s="37" t="s">
        <v>1212</v>
      </c>
      <c r="I891" s="42">
        <f t="shared" si="85"/>
        <v>42372.881355932208</v>
      </c>
      <c r="J891" s="42">
        <v>50000</v>
      </c>
      <c r="K891" s="42"/>
      <c r="L891" s="42"/>
      <c r="M891" s="42">
        <f t="shared" si="86"/>
        <v>42372.881355932208</v>
      </c>
      <c r="N891" s="42">
        <v>50000</v>
      </c>
      <c r="O891" s="42"/>
      <c r="P891" s="42">
        <f t="shared" si="84"/>
        <v>42372.881355932208</v>
      </c>
      <c r="Q891" s="42">
        <v>50000</v>
      </c>
    </row>
    <row r="892" spans="1:17" s="4" customFormat="1" ht="36.75" customHeight="1" x14ac:dyDescent="0.25">
      <c r="A892" s="18"/>
      <c r="B892" s="11" t="s">
        <v>1029</v>
      </c>
      <c r="C892" s="37" t="s">
        <v>1615</v>
      </c>
      <c r="D892" s="38"/>
      <c r="E892" s="38"/>
      <c r="F892" s="72"/>
      <c r="G892" s="34">
        <v>342</v>
      </c>
      <c r="H892" s="37" t="s">
        <v>1299</v>
      </c>
      <c r="I892" s="42">
        <f t="shared" si="85"/>
        <v>71186.440677966108</v>
      </c>
      <c r="J892" s="42">
        <v>84000</v>
      </c>
      <c r="K892" s="42"/>
      <c r="L892" s="42"/>
      <c r="M892" s="42">
        <f t="shared" si="86"/>
        <v>71186.440677966108</v>
      </c>
      <c r="N892" s="42">
        <v>84000</v>
      </c>
      <c r="O892" s="42"/>
      <c r="P892" s="42">
        <f t="shared" si="84"/>
        <v>71186.440677966108</v>
      </c>
      <c r="Q892" s="42">
        <v>84000</v>
      </c>
    </row>
    <row r="893" spans="1:17" s="4" customFormat="1" ht="36.75" customHeight="1" x14ac:dyDescent="0.25">
      <c r="A893" s="18"/>
      <c r="B893" s="11" t="s">
        <v>1029</v>
      </c>
      <c r="C893" s="37" t="s">
        <v>1616</v>
      </c>
      <c r="D893" s="38"/>
      <c r="E893" s="38"/>
      <c r="F893" s="72"/>
      <c r="G893" s="34">
        <v>1925</v>
      </c>
      <c r="H893" s="37" t="s">
        <v>1171</v>
      </c>
      <c r="I893" s="42">
        <f t="shared" si="85"/>
        <v>54244.067796610172</v>
      </c>
      <c r="J893" s="42">
        <v>64008</v>
      </c>
      <c r="K893" s="42"/>
      <c r="L893" s="42"/>
      <c r="M893" s="42">
        <f t="shared" si="86"/>
        <v>54244.067796610172</v>
      </c>
      <c r="N893" s="42">
        <v>64008</v>
      </c>
      <c r="O893" s="42"/>
      <c r="P893" s="42">
        <f t="shared" si="84"/>
        <v>54244.067796610172</v>
      </c>
      <c r="Q893" s="42">
        <v>64008</v>
      </c>
    </row>
    <row r="894" spans="1:17" s="4" customFormat="1" ht="36.75" customHeight="1" x14ac:dyDescent="0.25">
      <c r="A894" s="18"/>
      <c r="B894" s="11" t="s">
        <v>1029</v>
      </c>
      <c r="C894" s="37" t="s">
        <v>1617</v>
      </c>
      <c r="D894" s="38"/>
      <c r="E894" s="38"/>
      <c r="F894" s="72"/>
      <c r="G894" s="34">
        <v>2385</v>
      </c>
      <c r="H894" s="37" t="s">
        <v>1300</v>
      </c>
      <c r="I894" s="42">
        <f t="shared" si="85"/>
        <v>54244.067796610172</v>
      </c>
      <c r="J894" s="42">
        <v>64008</v>
      </c>
      <c r="K894" s="42"/>
      <c r="L894" s="42"/>
      <c r="M894" s="42">
        <f t="shared" si="86"/>
        <v>54244.067796610172</v>
      </c>
      <c r="N894" s="42">
        <v>64008</v>
      </c>
      <c r="O894" s="42"/>
      <c r="P894" s="42">
        <f t="shared" si="84"/>
        <v>54244.067796610172</v>
      </c>
      <c r="Q894" s="42">
        <v>64008</v>
      </c>
    </row>
    <row r="895" spans="1:17" s="4" customFormat="1" ht="36.75" customHeight="1" x14ac:dyDescent="0.25">
      <c r="A895" s="18"/>
      <c r="B895" s="11" t="s">
        <v>1029</v>
      </c>
      <c r="C895" s="37" t="s">
        <v>1584</v>
      </c>
      <c r="D895" s="38"/>
      <c r="E895" s="38"/>
      <c r="F895" s="72"/>
      <c r="G895" s="34">
        <v>8476</v>
      </c>
      <c r="H895" s="37" t="s">
        <v>1108</v>
      </c>
      <c r="I895" s="42">
        <f t="shared" si="85"/>
        <v>3488.1355932203392</v>
      </c>
      <c r="J895" s="42">
        <v>4116</v>
      </c>
      <c r="K895" s="42"/>
      <c r="L895" s="42"/>
      <c r="M895" s="42">
        <f t="shared" si="86"/>
        <v>3488.1355932203392</v>
      </c>
      <c r="N895" s="42">
        <v>4116</v>
      </c>
      <c r="O895" s="42"/>
      <c r="P895" s="42">
        <f t="shared" si="84"/>
        <v>3488.1355932203392</v>
      </c>
      <c r="Q895" s="42">
        <v>4116</v>
      </c>
    </row>
    <row r="896" spans="1:17" s="4" customFormat="1" ht="36.75" customHeight="1" x14ac:dyDescent="0.25">
      <c r="A896" s="18"/>
      <c r="B896" s="11" t="s">
        <v>1030</v>
      </c>
      <c r="C896" s="37" t="s">
        <v>1618</v>
      </c>
      <c r="D896" s="38"/>
      <c r="E896" s="38"/>
      <c r="F896" s="72"/>
      <c r="G896" s="34">
        <v>92</v>
      </c>
      <c r="H896" s="37" t="s">
        <v>1183</v>
      </c>
      <c r="I896" s="42">
        <f t="shared" si="85"/>
        <v>27162.305084745763</v>
      </c>
      <c r="J896" s="42">
        <v>32051.52</v>
      </c>
      <c r="K896" s="42"/>
      <c r="L896" s="42"/>
      <c r="M896" s="42">
        <f t="shared" si="86"/>
        <v>27162.305084745763</v>
      </c>
      <c r="N896" s="42">
        <v>32051.52</v>
      </c>
      <c r="O896" s="42"/>
      <c r="P896" s="42">
        <f t="shared" si="84"/>
        <v>27162.305084745763</v>
      </c>
      <c r="Q896" s="42">
        <v>32051.52</v>
      </c>
    </row>
    <row r="897" spans="1:17" s="4" customFormat="1" ht="36.75" customHeight="1" x14ac:dyDescent="0.25">
      <c r="A897" s="18"/>
      <c r="B897" s="11" t="s">
        <v>1030</v>
      </c>
      <c r="C897" s="37" t="s">
        <v>1619</v>
      </c>
      <c r="D897" s="38"/>
      <c r="E897" s="38"/>
      <c r="F897" s="72"/>
      <c r="G897" s="34">
        <v>2980</v>
      </c>
      <c r="H897" s="37" t="s">
        <v>1260</v>
      </c>
      <c r="I897" s="42">
        <f t="shared" si="85"/>
        <v>85238.983050847455</v>
      </c>
      <c r="J897" s="42">
        <v>100582</v>
      </c>
      <c r="K897" s="42"/>
      <c r="L897" s="42"/>
      <c r="M897" s="42">
        <f t="shared" si="86"/>
        <v>85238.983050847455</v>
      </c>
      <c r="N897" s="42">
        <v>100582</v>
      </c>
      <c r="O897" s="42"/>
      <c r="P897" s="42">
        <f t="shared" si="84"/>
        <v>85238.983050847455</v>
      </c>
      <c r="Q897" s="42">
        <v>100582</v>
      </c>
    </row>
    <row r="898" spans="1:17" s="4" customFormat="1" ht="36.75" customHeight="1" x14ac:dyDescent="0.25">
      <c r="A898" s="18"/>
      <c r="B898" s="11" t="s">
        <v>1031</v>
      </c>
      <c r="C898" s="37" t="s">
        <v>1620</v>
      </c>
      <c r="D898" s="38"/>
      <c r="E898" s="38"/>
      <c r="F898" s="72"/>
      <c r="G898" s="34">
        <v>9699</v>
      </c>
      <c r="H898" s="37" t="s">
        <v>1062</v>
      </c>
      <c r="I898" s="42">
        <f t="shared" si="85"/>
        <v>9964.8813559322043</v>
      </c>
      <c r="J898" s="42">
        <v>11758.56</v>
      </c>
      <c r="K898" s="42"/>
      <c r="L898" s="42"/>
      <c r="M898" s="42">
        <f t="shared" si="86"/>
        <v>9964.8813559322043</v>
      </c>
      <c r="N898" s="42">
        <v>11758.56</v>
      </c>
      <c r="O898" s="42"/>
      <c r="P898" s="42">
        <f t="shared" si="84"/>
        <v>9964.8813559322043</v>
      </c>
      <c r="Q898" s="42">
        <v>11758.56</v>
      </c>
    </row>
    <row r="899" spans="1:17" s="4" customFormat="1" ht="36.75" customHeight="1" x14ac:dyDescent="0.25">
      <c r="A899" s="18"/>
      <c r="B899" s="11" t="s">
        <v>1031</v>
      </c>
      <c r="C899" s="37" t="s">
        <v>1621</v>
      </c>
      <c r="D899" s="38"/>
      <c r="E899" s="38"/>
      <c r="F899" s="72"/>
      <c r="G899" s="34">
        <v>2967</v>
      </c>
      <c r="H899" s="37" t="s">
        <v>1069</v>
      </c>
      <c r="I899" s="42">
        <f t="shared" si="85"/>
        <v>6267.6610169491532</v>
      </c>
      <c r="J899" s="42">
        <v>7395.84</v>
      </c>
      <c r="K899" s="42"/>
      <c r="L899" s="42"/>
      <c r="M899" s="42">
        <f t="shared" si="86"/>
        <v>6267.6610169491532</v>
      </c>
      <c r="N899" s="42">
        <v>7395.84</v>
      </c>
      <c r="O899" s="42"/>
      <c r="P899" s="42">
        <f t="shared" si="84"/>
        <v>6267.6610169491532</v>
      </c>
      <c r="Q899" s="42">
        <v>7395.84</v>
      </c>
    </row>
    <row r="900" spans="1:17" s="4" customFormat="1" ht="36.75" customHeight="1" x14ac:dyDescent="0.25">
      <c r="A900" s="18"/>
      <c r="B900" s="11" t="s">
        <v>1031</v>
      </c>
      <c r="C900" s="37" t="s">
        <v>1622</v>
      </c>
      <c r="D900" s="38"/>
      <c r="E900" s="38"/>
      <c r="F900" s="72"/>
      <c r="G900" s="34">
        <v>499</v>
      </c>
      <c r="H900" s="37" t="s">
        <v>1301</v>
      </c>
      <c r="I900" s="42">
        <f t="shared" si="85"/>
        <v>15582.203389830509</v>
      </c>
      <c r="J900" s="42">
        <v>18387</v>
      </c>
      <c r="K900" s="42"/>
      <c r="L900" s="42"/>
      <c r="M900" s="42">
        <f t="shared" si="86"/>
        <v>15582.203389830509</v>
      </c>
      <c r="N900" s="42">
        <v>18387</v>
      </c>
      <c r="O900" s="42"/>
      <c r="P900" s="42">
        <f t="shared" si="84"/>
        <v>15582.203389830509</v>
      </c>
      <c r="Q900" s="42">
        <v>18387</v>
      </c>
    </row>
    <row r="901" spans="1:17" s="4" customFormat="1" ht="36.75" customHeight="1" x14ac:dyDescent="0.25">
      <c r="A901" s="18"/>
      <c r="B901" s="11" t="s">
        <v>1031</v>
      </c>
      <c r="C901" s="37" t="s">
        <v>1623</v>
      </c>
      <c r="D901" s="38"/>
      <c r="E901" s="38"/>
      <c r="F901" s="72"/>
      <c r="G901" s="34">
        <v>2536</v>
      </c>
      <c r="H901" s="37" t="s">
        <v>1302</v>
      </c>
      <c r="I901" s="42">
        <f t="shared" si="85"/>
        <v>40513.728813559319</v>
      </c>
      <c r="J901" s="42">
        <v>47806.2</v>
      </c>
      <c r="K901" s="42"/>
      <c r="L901" s="42"/>
      <c r="M901" s="42">
        <f t="shared" si="86"/>
        <v>40513.728813559319</v>
      </c>
      <c r="N901" s="42">
        <v>47806.2</v>
      </c>
      <c r="O901" s="42"/>
      <c r="P901" s="42">
        <f t="shared" si="84"/>
        <v>40513.728813559319</v>
      </c>
      <c r="Q901" s="42">
        <v>47806.2</v>
      </c>
    </row>
    <row r="902" spans="1:17" s="4" customFormat="1" ht="36.75" customHeight="1" x14ac:dyDescent="0.25">
      <c r="A902" s="18"/>
      <c r="B902" s="11" t="s">
        <v>1032</v>
      </c>
      <c r="C902" s="37" t="s">
        <v>1624</v>
      </c>
      <c r="D902" s="38"/>
      <c r="E902" s="38"/>
      <c r="F902" s="72"/>
      <c r="G902" s="34">
        <v>5955</v>
      </c>
      <c r="H902" s="37" t="s">
        <v>1229</v>
      </c>
      <c r="I902" s="42">
        <f t="shared" si="85"/>
        <v>147906.77966101695</v>
      </c>
      <c r="J902" s="42">
        <v>174530</v>
      </c>
      <c r="K902" s="42"/>
      <c r="L902" s="42"/>
      <c r="M902" s="42">
        <f t="shared" si="86"/>
        <v>147906.77966101695</v>
      </c>
      <c r="N902" s="42">
        <v>174530</v>
      </c>
      <c r="O902" s="42"/>
      <c r="P902" s="42">
        <f t="shared" si="84"/>
        <v>147906.77966101695</v>
      </c>
      <c r="Q902" s="42">
        <v>174530</v>
      </c>
    </row>
    <row r="903" spans="1:17" s="4" customFormat="1" ht="36.75" customHeight="1" x14ac:dyDescent="0.25">
      <c r="A903" s="18"/>
      <c r="B903" s="11" t="s">
        <v>1033</v>
      </c>
      <c r="C903" s="37" t="s">
        <v>1625</v>
      </c>
      <c r="D903" s="38"/>
      <c r="E903" s="38"/>
      <c r="F903" s="72"/>
      <c r="G903" s="34">
        <v>3201</v>
      </c>
      <c r="H903" s="37" t="s">
        <v>1303</v>
      </c>
      <c r="I903" s="42">
        <f t="shared" si="85"/>
        <v>16595.084745762713</v>
      </c>
      <c r="J903" s="42">
        <v>19582.2</v>
      </c>
      <c r="K903" s="42"/>
      <c r="L903" s="42"/>
      <c r="M903" s="42">
        <f t="shared" si="86"/>
        <v>16595.084745762713</v>
      </c>
      <c r="N903" s="42">
        <v>19582.2</v>
      </c>
      <c r="O903" s="42"/>
      <c r="P903" s="42">
        <f t="shared" si="84"/>
        <v>16595.084745762713</v>
      </c>
      <c r="Q903" s="42">
        <v>19582.2</v>
      </c>
    </row>
    <row r="904" spans="1:17" s="4" customFormat="1" ht="36.75" customHeight="1" x14ac:dyDescent="0.25">
      <c r="A904" s="18"/>
      <c r="B904" s="11" t="s">
        <v>1033</v>
      </c>
      <c r="C904" s="37" t="s">
        <v>1626</v>
      </c>
      <c r="D904" s="38"/>
      <c r="E904" s="38"/>
      <c r="F904" s="72"/>
      <c r="G904" s="34">
        <v>5291</v>
      </c>
      <c r="H904" s="37" t="s">
        <v>1304</v>
      </c>
      <c r="I904" s="42">
        <f t="shared" si="85"/>
        <v>27315.762711864409</v>
      </c>
      <c r="J904" s="42">
        <v>32232.6</v>
      </c>
      <c r="K904" s="42"/>
      <c r="L904" s="42"/>
      <c r="M904" s="42">
        <f t="shared" si="86"/>
        <v>27315.762711864409</v>
      </c>
      <c r="N904" s="42">
        <v>32232.6</v>
      </c>
      <c r="O904" s="42"/>
      <c r="P904" s="42">
        <f t="shared" si="84"/>
        <v>27315.762711864409</v>
      </c>
      <c r="Q904" s="42">
        <v>32232.6</v>
      </c>
    </row>
    <row r="905" spans="1:17" s="4" customFormat="1" ht="36.75" customHeight="1" x14ac:dyDescent="0.25">
      <c r="A905" s="18"/>
      <c r="B905" s="11" t="s">
        <v>1033</v>
      </c>
      <c r="C905" s="37" t="s">
        <v>1627</v>
      </c>
      <c r="D905" s="38"/>
      <c r="E905" s="38"/>
      <c r="F905" s="72"/>
      <c r="G905" s="34">
        <v>5555</v>
      </c>
      <c r="H905" s="37" t="s">
        <v>1305</v>
      </c>
      <c r="I905" s="42">
        <f t="shared" si="85"/>
        <v>27271.186440677968</v>
      </c>
      <c r="J905" s="42">
        <v>32180</v>
      </c>
      <c r="K905" s="42"/>
      <c r="L905" s="42"/>
      <c r="M905" s="42">
        <f t="shared" si="86"/>
        <v>27271.186440677968</v>
      </c>
      <c r="N905" s="42">
        <v>32180</v>
      </c>
      <c r="O905" s="42"/>
      <c r="P905" s="42">
        <f t="shared" si="84"/>
        <v>27271.186440677968</v>
      </c>
      <c r="Q905" s="42">
        <v>32180</v>
      </c>
    </row>
    <row r="906" spans="1:17" s="4" customFormat="1" ht="36.75" customHeight="1" x14ac:dyDescent="0.25">
      <c r="A906" s="18"/>
      <c r="B906" s="11" t="s">
        <v>1033</v>
      </c>
      <c r="C906" s="37" t="s">
        <v>1628</v>
      </c>
      <c r="D906" s="38"/>
      <c r="E906" s="38"/>
      <c r="F906" s="72"/>
      <c r="G906" s="34">
        <v>6118</v>
      </c>
      <c r="H906" s="37" t="s">
        <v>1251</v>
      </c>
      <c r="I906" s="42">
        <f t="shared" si="85"/>
        <v>29300.847457627122</v>
      </c>
      <c r="J906" s="42">
        <v>34575</v>
      </c>
      <c r="K906" s="42"/>
      <c r="L906" s="42"/>
      <c r="M906" s="42">
        <f t="shared" si="86"/>
        <v>29300.847457627122</v>
      </c>
      <c r="N906" s="42">
        <v>34575</v>
      </c>
      <c r="O906" s="42"/>
      <c r="P906" s="42">
        <f t="shared" si="84"/>
        <v>29300.847457627122</v>
      </c>
      <c r="Q906" s="42">
        <v>34575</v>
      </c>
    </row>
    <row r="907" spans="1:17" s="4" customFormat="1" ht="36.75" customHeight="1" x14ac:dyDescent="0.25">
      <c r="A907" s="18"/>
      <c r="B907" s="11" t="s">
        <v>1033</v>
      </c>
      <c r="C907" s="37" t="s">
        <v>1629</v>
      </c>
      <c r="D907" s="38"/>
      <c r="E907" s="38"/>
      <c r="F907" s="72"/>
      <c r="G907" s="34">
        <v>1475</v>
      </c>
      <c r="H907" s="37" t="s">
        <v>1306</v>
      </c>
      <c r="I907" s="42">
        <f t="shared" si="85"/>
        <v>20045.762711864409</v>
      </c>
      <c r="J907" s="42">
        <v>23654</v>
      </c>
      <c r="K907" s="42"/>
      <c r="L907" s="42"/>
      <c r="M907" s="42">
        <f t="shared" si="86"/>
        <v>20045.762711864409</v>
      </c>
      <c r="N907" s="42">
        <v>23654</v>
      </c>
      <c r="O907" s="42"/>
      <c r="P907" s="42">
        <f t="shared" si="84"/>
        <v>20045.762711864409</v>
      </c>
      <c r="Q907" s="42">
        <v>23654</v>
      </c>
    </row>
    <row r="908" spans="1:17" s="4" customFormat="1" ht="36.75" customHeight="1" x14ac:dyDescent="0.25">
      <c r="A908" s="18"/>
      <c r="B908" s="11" t="s">
        <v>1033</v>
      </c>
      <c r="C908" s="37" t="s">
        <v>1630</v>
      </c>
      <c r="D908" s="38"/>
      <c r="E908" s="38"/>
      <c r="F908" s="72"/>
      <c r="G908" s="34">
        <v>5763</v>
      </c>
      <c r="H908" s="37" t="s">
        <v>1279</v>
      </c>
      <c r="I908" s="42">
        <f t="shared" si="85"/>
        <v>13737.28813559322</v>
      </c>
      <c r="J908" s="42">
        <v>16210</v>
      </c>
      <c r="K908" s="42"/>
      <c r="L908" s="42"/>
      <c r="M908" s="42">
        <f t="shared" si="86"/>
        <v>13737.28813559322</v>
      </c>
      <c r="N908" s="42">
        <v>16210</v>
      </c>
      <c r="O908" s="42"/>
      <c r="P908" s="42">
        <f t="shared" si="84"/>
        <v>13737.28813559322</v>
      </c>
      <c r="Q908" s="42">
        <v>16210</v>
      </c>
    </row>
    <row r="909" spans="1:17" s="4" customFormat="1" ht="36.75" customHeight="1" x14ac:dyDescent="0.25">
      <c r="A909" s="18"/>
      <c r="B909" s="11" t="s">
        <v>1034</v>
      </c>
      <c r="C909" s="37" t="s">
        <v>1631</v>
      </c>
      <c r="D909" s="38"/>
      <c r="E909" s="38"/>
      <c r="F909" s="72"/>
      <c r="G909" s="34">
        <v>2093</v>
      </c>
      <c r="H909" s="37" t="s">
        <v>1307</v>
      </c>
      <c r="I909" s="42">
        <f t="shared" si="85"/>
        <v>5555.0847457627124</v>
      </c>
      <c r="J909" s="42">
        <v>6555</v>
      </c>
      <c r="K909" s="42"/>
      <c r="L909" s="42"/>
      <c r="M909" s="42">
        <f t="shared" si="86"/>
        <v>5555.0847457627124</v>
      </c>
      <c r="N909" s="42">
        <v>6555</v>
      </c>
      <c r="O909" s="42"/>
      <c r="P909" s="42">
        <f t="shared" si="84"/>
        <v>5555.0847457627124</v>
      </c>
      <c r="Q909" s="42">
        <v>6555</v>
      </c>
    </row>
    <row r="910" spans="1:17" s="4" customFormat="1" ht="36.75" customHeight="1" x14ac:dyDescent="0.25">
      <c r="A910" s="18"/>
      <c r="B910" s="11" t="s">
        <v>1034</v>
      </c>
      <c r="C910" s="37" t="s">
        <v>1632</v>
      </c>
      <c r="D910" s="38"/>
      <c r="E910" s="38"/>
      <c r="F910" s="72"/>
      <c r="G910" s="34">
        <v>5924</v>
      </c>
      <c r="H910" s="37" t="s">
        <v>1308</v>
      </c>
      <c r="I910" s="42">
        <f t="shared" si="85"/>
        <v>254237.28813559323</v>
      </c>
      <c r="J910" s="42">
        <v>300000</v>
      </c>
      <c r="K910" s="42"/>
      <c r="L910" s="42"/>
      <c r="M910" s="42">
        <f t="shared" si="86"/>
        <v>254237.28813559323</v>
      </c>
      <c r="N910" s="42">
        <v>300000</v>
      </c>
      <c r="O910" s="42"/>
      <c r="P910" s="42">
        <f t="shared" si="84"/>
        <v>254237.28813559323</v>
      </c>
      <c r="Q910" s="42">
        <v>300000</v>
      </c>
    </row>
    <row r="911" spans="1:17" s="4" customFormat="1" ht="36.75" customHeight="1" x14ac:dyDescent="0.25">
      <c r="A911" s="18"/>
      <c r="B911" s="11" t="s">
        <v>1034</v>
      </c>
      <c r="C911" s="37" t="s">
        <v>1633</v>
      </c>
      <c r="D911" s="38"/>
      <c r="E911" s="38"/>
      <c r="F911" s="72"/>
      <c r="G911" s="34">
        <v>8542</v>
      </c>
      <c r="H911" s="37" t="s">
        <v>1180</v>
      </c>
      <c r="I911" s="42">
        <f t="shared" si="85"/>
        <v>59152.542372881362</v>
      </c>
      <c r="J911" s="42">
        <v>69800</v>
      </c>
      <c r="K911" s="42"/>
      <c r="L911" s="42"/>
      <c r="M911" s="42">
        <f t="shared" si="86"/>
        <v>59152.542372881362</v>
      </c>
      <c r="N911" s="42">
        <v>69800</v>
      </c>
      <c r="O911" s="42"/>
      <c r="P911" s="42">
        <f t="shared" si="84"/>
        <v>59152.542372881362</v>
      </c>
      <c r="Q911" s="42">
        <v>69800</v>
      </c>
    </row>
    <row r="912" spans="1:17" s="4" customFormat="1" ht="36.75" customHeight="1" x14ac:dyDescent="0.25">
      <c r="A912" s="18"/>
      <c r="B912" s="11" t="s">
        <v>1034</v>
      </c>
      <c r="C912" s="37" t="s">
        <v>1634</v>
      </c>
      <c r="D912" s="38"/>
      <c r="E912" s="38"/>
      <c r="F912" s="72"/>
      <c r="G912" s="34">
        <v>1084</v>
      </c>
      <c r="H912" s="37" t="s">
        <v>1309</v>
      </c>
      <c r="I912" s="42">
        <f t="shared" si="85"/>
        <v>84745.762711864416</v>
      </c>
      <c r="J912" s="42">
        <v>100000</v>
      </c>
      <c r="K912" s="42"/>
      <c r="L912" s="42"/>
      <c r="M912" s="42">
        <f t="shared" si="86"/>
        <v>84745.762711864416</v>
      </c>
      <c r="N912" s="42">
        <v>100000</v>
      </c>
      <c r="O912" s="42"/>
      <c r="P912" s="42">
        <f t="shared" si="84"/>
        <v>84745.762711864416</v>
      </c>
      <c r="Q912" s="42">
        <v>100000</v>
      </c>
    </row>
    <row r="913" spans="1:17" s="4" customFormat="1" ht="36.75" customHeight="1" x14ac:dyDescent="0.25">
      <c r="A913" s="18"/>
      <c r="B913" s="11" t="s">
        <v>1034</v>
      </c>
      <c r="C913" s="37" t="s">
        <v>1635</v>
      </c>
      <c r="D913" s="38"/>
      <c r="E913" s="38"/>
      <c r="F913" s="72"/>
      <c r="G913" s="34">
        <v>2896</v>
      </c>
      <c r="H913" s="37" t="s">
        <v>1257</v>
      </c>
      <c r="I913" s="42">
        <f t="shared" si="85"/>
        <v>126764.95762711865</v>
      </c>
      <c r="J913" s="42">
        <v>149582.65</v>
      </c>
      <c r="K913" s="42"/>
      <c r="L913" s="42"/>
      <c r="M913" s="42">
        <f t="shared" si="86"/>
        <v>126764.95762711865</v>
      </c>
      <c r="N913" s="42">
        <v>149582.65</v>
      </c>
      <c r="O913" s="42"/>
      <c r="P913" s="42">
        <f t="shared" si="84"/>
        <v>126764.95762711865</v>
      </c>
      <c r="Q913" s="42">
        <v>149582.65</v>
      </c>
    </row>
    <row r="914" spans="1:17" s="4" customFormat="1" ht="36.75" customHeight="1" x14ac:dyDescent="0.25">
      <c r="A914" s="18"/>
      <c r="B914" s="11" t="s">
        <v>1034</v>
      </c>
      <c r="C914" s="37" t="s">
        <v>1636</v>
      </c>
      <c r="D914" s="38"/>
      <c r="E914" s="38"/>
      <c r="F914" s="72"/>
      <c r="G914" s="34">
        <v>5983</v>
      </c>
      <c r="H914" s="37" t="s">
        <v>1280</v>
      </c>
      <c r="I914" s="42">
        <f t="shared" si="85"/>
        <v>60970.97457627119</v>
      </c>
      <c r="J914" s="42">
        <v>71945.75</v>
      </c>
      <c r="K914" s="42"/>
      <c r="L914" s="42"/>
      <c r="M914" s="42">
        <f t="shared" si="86"/>
        <v>60970.97457627119</v>
      </c>
      <c r="N914" s="42">
        <v>71945.75</v>
      </c>
      <c r="O914" s="42"/>
      <c r="P914" s="42">
        <f t="shared" si="84"/>
        <v>60970.97457627119</v>
      </c>
      <c r="Q914" s="42">
        <v>71945.75</v>
      </c>
    </row>
    <row r="915" spans="1:17" s="4" customFormat="1" ht="36.75" customHeight="1" x14ac:dyDescent="0.25">
      <c r="A915" s="18"/>
      <c r="B915" s="11" t="s">
        <v>1034</v>
      </c>
      <c r="C915" s="37" t="s">
        <v>1637</v>
      </c>
      <c r="D915" s="38"/>
      <c r="E915" s="38"/>
      <c r="F915" s="72"/>
      <c r="G915" s="34">
        <v>449</v>
      </c>
      <c r="H915" s="37" t="s">
        <v>1310</v>
      </c>
      <c r="I915" s="42">
        <f t="shared" si="85"/>
        <v>52476.745762711864</v>
      </c>
      <c r="J915" s="42">
        <v>61922.559999999998</v>
      </c>
      <c r="K915" s="42"/>
      <c r="L915" s="42"/>
      <c r="M915" s="42">
        <f t="shared" si="86"/>
        <v>52476.745762711864</v>
      </c>
      <c r="N915" s="42">
        <v>61922.559999999998</v>
      </c>
      <c r="O915" s="42"/>
      <c r="P915" s="42">
        <f t="shared" si="84"/>
        <v>52476.745762711864</v>
      </c>
      <c r="Q915" s="42">
        <v>61922.559999999998</v>
      </c>
    </row>
    <row r="916" spans="1:17" s="4" customFormat="1" ht="36.75" customHeight="1" x14ac:dyDescent="0.25">
      <c r="A916" s="18"/>
      <c r="B916" s="11" t="s">
        <v>1034</v>
      </c>
      <c r="C916" s="37" t="s">
        <v>1637</v>
      </c>
      <c r="D916" s="38"/>
      <c r="E916" s="38"/>
      <c r="F916" s="72"/>
      <c r="G916" s="34">
        <v>745</v>
      </c>
      <c r="H916" s="37" t="s">
        <v>1120</v>
      </c>
      <c r="I916" s="42">
        <f t="shared" si="85"/>
        <v>53008.47457627119</v>
      </c>
      <c r="J916" s="42">
        <v>62550</v>
      </c>
      <c r="K916" s="42"/>
      <c r="L916" s="42"/>
      <c r="M916" s="42">
        <f t="shared" si="86"/>
        <v>53008.47457627119</v>
      </c>
      <c r="N916" s="42">
        <v>62550</v>
      </c>
      <c r="O916" s="42"/>
      <c r="P916" s="42">
        <f t="shared" si="84"/>
        <v>53008.47457627119</v>
      </c>
      <c r="Q916" s="42">
        <v>62550</v>
      </c>
    </row>
    <row r="917" spans="1:17" s="4" customFormat="1" ht="36.75" customHeight="1" x14ac:dyDescent="0.25">
      <c r="A917" s="18"/>
      <c r="B917" s="11" t="s">
        <v>1034</v>
      </c>
      <c r="C917" s="37" t="s">
        <v>1637</v>
      </c>
      <c r="D917" s="38"/>
      <c r="E917" s="38"/>
      <c r="F917" s="72"/>
      <c r="G917" s="34">
        <v>1005</v>
      </c>
      <c r="H917" s="37" t="s">
        <v>1121</v>
      </c>
      <c r="I917" s="42">
        <f t="shared" si="85"/>
        <v>11728.813559322034</v>
      </c>
      <c r="J917" s="42">
        <v>13840</v>
      </c>
      <c r="K917" s="42"/>
      <c r="L917" s="42"/>
      <c r="M917" s="42">
        <f t="shared" si="86"/>
        <v>11728.813559322034</v>
      </c>
      <c r="N917" s="42">
        <v>13840</v>
      </c>
      <c r="O917" s="42"/>
      <c r="P917" s="42">
        <f t="shared" si="84"/>
        <v>11728.813559322034</v>
      </c>
      <c r="Q917" s="42">
        <v>13840</v>
      </c>
    </row>
    <row r="918" spans="1:17" s="4" customFormat="1" ht="36.75" customHeight="1" x14ac:dyDescent="0.25">
      <c r="A918" s="18"/>
      <c r="B918" s="11" t="s">
        <v>1034</v>
      </c>
      <c r="C918" s="37" t="s">
        <v>1637</v>
      </c>
      <c r="D918" s="38"/>
      <c r="E918" s="38"/>
      <c r="F918" s="72"/>
      <c r="G918" s="34">
        <v>937</v>
      </c>
      <c r="H918" s="37" t="s">
        <v>1121</v>
      </c>
      <c r="I918" s="42">
        <f t="shared" si="85"/>
        <v>72132.58474576271</v>
      </c>
      <c r="J918" s="42">
        <v>85116.45</v>
      </c>
      <c r="K918" s="42"/>
      <c r="L918" s="42"/>
      <c r="M918" s="42">
        <f t="shared" si="86"/>
        <v>72132.58474576271</v>
      </c>
      <c r="N918" s="42">
        <v>85116.45</v>
      </c>
      <c r="O918" s="42"/>
      <c r="P918" s="42">
        <f t="shared" ref="P918:P964" si="87">M918</f>
        <v>72132.58474576271</v>
      </c>
      <c r="Q918" s="42">
        <v>85116.45</v>
      </c>
    </row>
    <row r="919" spans="1:17" s="4" customFormat="1" ht="36.75" customHeight="1" x14ac:dyDescent="0.25">
      <c r="A919" s="18"/>
      <c r="B919" s="11" t="s">
        <v>1034</v>
      </c>
      <c r="C919" s="37" t="s">
        <v>1637</v>
      </c>
      <c r="D919" s="38"/>
      <c r="E919" s="38"/>
      <c r="F919" s="72"/>
      <c r="G919" s="34">
        <v>926</v>
      </c>
      <c r="H919" s="37" t="s">
        <v>1121</v>
      </c>
      <c r="I919" s="42">
        <f t="shared" ref="I919" si="88">J919/1.18</f>
        <v>73755.042372881362</v>
      </c>
      <c r="J919" s="42">
        <v>87030.95</v>
      </c>
      <c r="K919" s="42"/>
      <c r="L919" s="42"/>
      <c r="M919" s="42">
        <f t="shared" ref="M919" si="89">N919/1.18</f>
        <v>73755.042372881362</v>
      </c>
      <c r="N919" s="42">
        <v>87030.95</v>
      </c>
      <c r="O919" s="42"/>
      <c r="P919" s="42">
        <f t="shared" si="87"/>
        <v>73755.042372881362</v>
      </c>
      <c r="Q919" s="42">
        <v>87030.95</v>
      </c>
    </row>
    <row r="920" spans="1:17" s="4" customFormat="1" ht="36.75" customHeight="1" x14ac:dyDescent="0.25">
      <c r="A920" s="18"/>
      <c r="B920" s="11" t="s">
        <v>1035</v>
      </c>
      <c r="C920" s="37" t="s">
        <v>1638</v>
      </c>
      <c r="D920" s="38"/>
      <c r="E920" s="38"/>
      <c r="F920" s="72"/>
      <c r="G920" s="34">
        <v>710</v>
      </c>
      <c r="H920" s="37" t="s">
        <v>1311</v>
      </c>
      <c r="I920" s="42">
        <v>44000</v>
      </c>
      <c r="J920" s="42">
        <v>44000</v>
      </c>
      <c r="K920" s="42"/>
      <c r="L920" s="42"/>
      <c r="M920" s="42">
        <v>44000</v>
      </c>
      <c r="N920" s="42">
        <v>44000</v>
      </c>
      <c r="O920" s="42"/>
      <c r="P920" s="42">
        <f t="shared" si="87"/>
        <v>44000</v>
      </c>
      <c r="Q920" s="42">
        <v>44000</v>
      </c>
    </row>
    <row r="921" spans="1:17" s="4" customFormat="1" ht="36.75" customHeight="1" x14ac:dyDescent="0.25">
      <c r="A921" s="18"/>
      <c r="B921" s="11" t="s">
        <v>1035</v>
      </c>
      <c r="C921" s="37" t="s">
        <v>1639</v>
      </c>
      <c r="D921" s="38"/>
      <c r="E921" s="38"/>
      <c r="F921" s="72"/>
      <c r="G921" s="34">
        <v>2204</v>
      </c>
      <c r="H921" s="37" t="s">
        <v>1312</v>
      </c>
      <c r="I921" s="42">
        <v>59250</v>
      </c>
      <c r="J921" s="42">
        <v>59250</v>
      </c>
      <c r="K921" s="42"/>
      <c r="L921" s="42"/>
      <c r="M921" s="42">
        <v>59250</v>
      </c>
      <c r="N921" s="42">
        <v>59250</v>
      </c>
      <c r="O921" s="42"/>
      <c r="P921" s="42">
        <f t="shared" si="87"/>
        <v>59250</v>
      </c>
      <c r="Q921" s="42">
        <v>59250</v>
      </c>
    </row>
    <row r="922" spans="1:17" s="4" customFormat="1" ht="36.75" customHeight="1" x14ac:dyDescent="0.25">
      <c r="A922" s="18"/>
      <c r="B922" s="11" t="s">
        <v>1035</v>
      </c>
      <c r="C922" s="37" t="s">
        <v>1640</v>
      </c>
      <c r="D922" s="38"/>
      <c r="E922" s="38"/>
      <c r="F922" s="72"/>
      <c r="G922" s="34">
        <v>4021</v>
      </c>
      <c r="H922" s="37" t="s">
        <v>1313</v>
      </c>
      <c r="I922" s="42">
        <v>30000</v>
      </c>
      <c r="J922" s="42">
        <v>30000</v>
      </c>
      <c r="K922" s="42"/>
      <c r="L922" s="42"/>
      <c r="M922" s="42">
        <v>30000</v>
      </c>
      <c r="N922" s="42">
        <v>30000</v>
      </c>
      <c r="O922" s="42"/>
      <c r="P922" s="42">
        <f t="shared" si="87"/>
        <v>30000</v>
      </c>
      <c r="Q922" s="42">
        <v>30000</v>
      </c>
    </row>
    <row r="923" spans="1:17" s="4" customFormat="1" ht="36.75" customHeight="1" x14ac:dyDescent="0.25">
      <c r="A923" s="18"/>
      <c r="B923" s="11" t="s">
        <v>1036</v>
      </c>
      <c r="C923" s="37" t="s">
        <v>1641</v>
      </c>
      <c r="D923" s="38"/>
      <c r="E923" s="38"/>
      <c r="F923" s="72"/>
      <c r="G923" s="34">
        <v>4230</v>
      </c>
      <c r="H923" s="37" t="s">
        <v>1314</v>
      </c>
      <c r="I923" s="42">
        <v>27950</v>
      </c>
      <c r="J923" s="42">
        <v>27950</v>
      </c>
      <c r="K923" s="42"/>
      <c r="L923" s="42"/>
      <c r="M923" s="42">
        <v>27950</v>
      </c>
      <c r="N923" s="42">
        <v>27950</v>
      </c>
      <c r="O923" s="42"/>
      <c r="P923" s="42">
        <f t="shared" si="87"/>
        <v>27950</v>
      </c>
      <c r="Q923" s="42">
        <v>27950</v>
      </c>
    </row>
    <row r="924" spans="1:17" s="4" customFormat="1" ht="36.75" customHeight="1" x14ac:dyDescent="0.25">
      <c r="A924" s="18"/>
      <c r="B924" s="11" t="s">
        <v>1035</v>
      </c>
      <c r="C924" s="37" t="s">
        <v>1642</v>
      </c>
      <c r="D924" s="38"/>
      <c r="E924" s="38"/>
      <c r="F924" s="72"/>
      <c r="G924" s="34">
        <v>5999</v>
      </c>
      <c r="H924" s="37" t="s">
        <v>1315</v>
      </c>
      <c r="I924" s="42">
        <v>20196</v>
      </c>
      <c r="J924" s="42">
        <v>20196</v>
      </c>
      <c r="K924" s="42"/>
      <c r="L924" s="42"/>
      <c r="M924" s="42">
        <v>20196</v>
      </c>
      <c r="N924" s="42">
        <v>20196</v>
      </c>
      <c r="O924" s="42"/>
      <c r="P924" s="42">
        <f t="shared" si="87"/>
        <v>20196</v>
      </c>
      <c r="Q924" s="42">
        <v>20196</v>
      </c>
    </row>
    <row r="925" spans="1:17" s="4" customFormat="1" ht="36.75" customHeight="1" x14ac:dyDescent="0.25">
      <c r="A925" s="18"/>
      <c r="B925" s="11" t="s">
        <v>1037</v>
      </c>
      <c r="C925" s="37" t="s">
        <v>1643</v>
      </c>
      <c r="D925" s="38"/>
      <c r="E925" s="38"/>
      <c r="F925" s="72"/>
      <c r="G925" s="34">
        <v>8314</v>
      </c>
      <c r="H925" s="37" t="s">
        <v>1316</v>
      </c>
      <c r="I925" s="42">
        <v>27628.400000000001</v>
      </c>
      <c r="J925" s="42">
        <v>27628.400000000001</v>
      </c>
      <c r="K925" s="42"/>
      <c r="L925" s="42"/>
      <c r="M925" s="42">
        <v>27628.400000000001</v>
      </c>
      <c r="N925" s="42">
        <v>27628.400000000001</v>
      </c>
      <c r="O925" s="42"/>
      <c r="P925" s="42">
        <f t="shared" si="87"/>
        <v>27628.400000000001</v>
      </c>
      <c r="Q925" s="42">
        <v>27628.400000000001</v>
      </c>
    </row>
    <row r="926" spans="1:17" s="4" customFormat="1" ht="36.75" customHeight="1" x14ac:dyDescent="0.25">
      <c r="A926" s="18"/>
      <c r="B926" s="11" t="s">
        <v>1038</v>
      </c>
      <c r="C926" s="37" t="s">
        <v>1644</v>
      </c>
      <c r="D926" s="38"/>
      <c r="E926" s="38"/>
      <c r="F926" s="72"/>
      <c r="G926" s="34">
        <v>3529</v>
      </c>
      <c r="H926" s="37" t="s">
        <v>1249</v>
      </c>
      <c r="I926" s="42">
        <f>J926/1.18</f>
        <v>37586.4406779661</v>
      </c>
      <c r="J926" s="42">
        <v>44352</v>
      </c>
      <c r="K926" s="42"/>
      <c r="L926" s="42"/>
      <c r="M926" s="42">
        <f>N926/1.18</f>
        <v>37586.4406779661</v>
      </c>
      <c r="N926" s="42">
        <v>44352</v>
      </c>
      <c r="O926" s="42"/>
      <c r="P926" s="42">
        <f t="shared" si="87"/>
        <v>37586.4406779661</v>
      </c>
      <c r="Q926" s="42">
        <v>44352</v>
      </c>
    </row>
    <row r="927" spans="1:17" s="4" customFormat="1" ht="36.75" customHeight="1" x14ac:dyDescent="0.25">
      <c r="A927" s="18"/>
      <c r="B927" s="11" t="s">
        <v>1038</v>
      </c>
      <c r="C927" s="37" t="s">
        <v>1645</v>
      </c>
      <c r="D927" s="38"/>
      <c r="E927" s="38"/>
      <c r="F927" s="72"/>
      <c r="G927" s="34">
        <v>3606</v>
      </c>
      <c r="H927" s="37" t="s">
        <v>1250</v>
      </c>
      <c r="I927" s="42">
        <f t="shared" ref="I927:I935" si="90">J927/1.18</f>
        <v>75172.881355932201</v>
      </c>
      <c r="J927" s="42">
        <v>88704</v>
      </c>
      <c r="K927" s="42"/>
      <c r="L927" s="42"/>
      <c r="M927" s="42">
        <f t="shared" ref="M927:M935" si="91">N927/1.18</f>
        <v>75172.881355932201</v>
      </c>
      <c r="N927" s="42">
        <v>88704</v>
      </c>
      <c r="O927" s="42"/>
      <c r="P927" s="42">
        <f t="shared" si="87"/>
        <v>75172.881355932201</v>
      </c>
      <c r="Q927" s="42">
        <v>88704</v>
      </c>
    </row>
    <row r="928" spans="1:17" s="4" customFormat="1" ht="36.75" customHeight="1" x14ac:dyDescent="0.25">
      <c r="A928" s="18"/>
      <c r="B928" s="11" t="s">
        <v>1038</v>
      </c>
      <c r="C928" s="37" t="s">
        <v>1646</v>
      </c>
      <c r="D928" s="38"/>
      <c r="E928" s="38"/>
      <c r="F928" s="72"/>
      <c r="G928" s="34">
        <v>3682</v>
      </c>
      <c r="H928" s="37" t="s">
        <v>1317</v>
      </c>
      <c r="I928" s="42">
        <f t="shared" si="90"/>
        <v>111864.40677966102</v>
      </c>
      <c r="J928" s="42">
        <v>132000</v>
      </c>
      <c r="K928" s="42"/>
      <c r="L928" s="42"/>
      <c r="M928" s="42">
        <f t="shared" si="91"/>
        <v>111864.40677966102</v>
      </c>
      <c r="N928" s="42">
        <v>132000</v>
      </c>
      <c r="O928" s="42"/>
      <c r="P928" s="42">
        <f t="shared" si="87"/>
        <v>111864.40677966102</v>
      </c>
      <c r="Q928" s="42">
        <v>132000</v>
      </c>
    </row>
    <row r="929" spans="1:17" s="4" customFormat="1" ht="36.75" customHeight="1" x14ac:dyDescent="0.25">
      <c r="A929" s="18"/>
      <c r="B929" s="11" t="s">
        <v>1038</v>
      </c>
      <c r="C929" s="37" t="s">
        <v>1647</v>
      </c>
      <c r="D929" s="38"/>
      <c r="E929" s="38"/>
      <c r="F929" s="72"/>
      <c r="G929" s="34">
        <v>3880</v>
      </c>
      <c r="H929" s="37" t="s">
        <v>1282</v>
      </c>
      <c r="I929" s="42">
        <f t="shared" si="90"/>
        <v>223728.81355932204</v>
      </c>
      <c r="J929" s="42">
        <v>264000</v>
      </c>
      <c r="K929" s="42"/>
      <c r="L929" s="42"/>
      <c r="M929" s="42">
        <f t="shared" si="91"/>
        <v>223728.81355932204</v>
      </c>
      <c r="N929" s="42">
        <v>264000</v>
      </c>
      <c r="O929" s="42"/>
      <c r="P929" s="42">
        <f t="shared" si="87"/>
        <v>223728.81355932204</v>
      </c>
      <c r="Q929" s="42">
        <v>264000</v>
      </c>
    </row>
    <row r="930" spans="1:17" s="4" customFormat="1" ht="36.75" customHeight="1" x14ac:dyDescent="0.25">
      <c r="A930" s="18"/>
      <c r="B930" s="11" t="s">
        <v>1038</v>
      </c>
      <c r="C930" s="37" t="s">
        <v>1648</v>
      </c>
      <c r="D930" s="38"/>
      <c r="E930" s="38"/>
      <c r="F930" s="72"/>
      <c r="G930" s="34">
        <v>4096</v>
      </c>
      <c r="H930" s="37" t="s">
        <v>1318</v>
      </c>
      <c r="I930" s="42">
        <f t="shared" si="90"/>
        <v>186589.83050847458</v>
      </c>
      <c r="J930" s="42">
        <v>220176</v>
      </c>
      <c r="K930" s="42"/>
      <c r="L930" s="42"/>
      <c r="M930" s="42">
        <f t="shared" si="91"/>
        <v>186589.83050847458</v>
      </c>
      <c r="N930" s="42">
        <v>220176</v>
      </c>
      <c r="O930" s="42"/>
      <c r="P930" s="42">
        <f t="shared" si="87"/>
        <v>186589.83050847458</v>
      </c>
      <c r="Q930" s="42">
        <v>220176</v>
      </c>
    </row>
    <row r="931" spans="1:17" s="4" customFormat="1" ht="36.75" customHeight="1" x14ac:dyDescent="0.25">
      <c r="A931" s="18"/>
      <c r="B931" s="11" t="s">
        <v>1038</v>
      </c>
      <c r="C931" s="37" t="s">
        <v>1649</v>
      </c>
      <c r="D931" s="38"/>
      <c r="E931" s="38"/>
      <c r="F931" s="72"/>
      <c r="G931" s="34">
        <v>4353</v>
      </c>
      <c r="H931" s="37" t="s">
        <v>1319</v>
      </c>
      <c r="I931" s="42">
        <f t="shared" si="90"/>
        <v>271159.32203389832</v>
      </c>
      <c r="J931" s="42">
        <v>319968</v>
      </c>
      <c r="K931" s="42"/>
      <c r="L931" s="42"/>
      <c r="M931" s="42">
        <f t="shared" si="91"/>
        <v>271159.32203389832</v>
      </c>
      <c r="N931" s="42">
        <v>319968</v>
      </c>
      <c r="O931" s="42"/>
      <c r="P931" s="42">
        <f t="shared" si="87"/>
        <v>271159.32203389832</v>
      </c>
      <c r="Q931" s="42">
        <v>319968</v>
      </c>
    </row>
    <row r="932" spans="1:17" s="4" customFormat="1" ht="36.75" customHeight="1" x14ac:dyDescent="0.25">
      <c r="A932" s="18"/>
      <c r="B932" s="11" t="s">
        <v>1038</v>
      </c>
      <c r="C932" s="37" t="s">
        <v>1650</v>
      </c>
      <c r="D932" s="38"/>
      <c r="E932" s="38"/>
      <c r="F932" s="72"/>
      <c r="G932" s="34">
        <v>4727</v>
      </c>
      <c r="H932" s="37" t="s">
        <v>1259</v>
      </c>
      <c r="I932" s="42">
        <f>J932/1.18</f>
        <v>223728.81355932204</v>
      </c>
      <c r="J932" s="42">
        <v>264000</v>
      </c>
      <c r="K932" s="42"/>
      <c r="L932" s="42"/>
      <c r="M932" s="42">
        <f>N932/1.18</f>
        <v>223728.81355932204</v>
      </c>
      <c r="N932" s="42">
        <v>264000</v>
      </c>
      <c r="O932" s="42"/>
      <c r="P932" s="42">
        <f t="shared" si="87"/>
        <v>223728.81355932204</v>
      </c>
      <c r="Q932" s="42">
        <v>264000</v>
      </c>
    </row>
    <row r="933" spans="1:17" s="4" customFormat="1" ht="36.75" customHeight="1" x14ac:dyDescent="0.25">
      <c r="A933" s="18"/>
      <c r="B933" s="11" t="s">
        <v>1038</v>
      </c>
      <c r="C933" s="37" t="s">
        <v>1651</v>
      </c>
      <c r="D933" s="38"/>
      <c r="E933" s="38"/>
      <c r="F933" s="72"/>
      <c r="G933" s="34">
        <v>6158</v>
      </c>
      <c r="H933" s="37" t="s">
        <v>1320</v>
      </c>
      <c r="I933" s="42">
        <f t="shared" si="90"/>
        <v>23898.305084745763</v>
      </c>
      <c r="J933" s="42">
        <v>28200</v>
      </c>
      <c r="K933" s="42"/>
      <c r="L933" s="42"/>
      <c r="M933" s="42">
        <f t="shared" si="91"/>
        <v>23898.305084745763</v>
      </c>
      <c r="N933" s="42">
        <v>28200</v>
      </c>
      <c r="O933" s="42"/>
      <c r="P933" s="42">
        <f t="shared" si="87"/>
        <v>23898.305084745763</v>
      </c>
      <c r="Q933" s="42">
        <v>28200</v>
      </c>
    </row>
    <row r="934" spans="1:17" s="4" customFormat="1" ht="36.75" customHeight="1" x14ac:dyDescent="0.25">
      <c r="A934" s="18"/>
      <c r="B934" s="11" t="s">
        <v>1038</v>
      </c>
      <c r="C934" s="37" t="s">
        <v>1652</v>
      </c>
      <c r="D934" s="38"/>
      <c r="E934" s="38"/>
      <c r="F934" s="72"/>
      <c r="G934" s="34">
        <v>7525</v>
      </c>
      <c r="H934" s="37" t="s">
        <v>49</v>
      </c>
      <c r="I934" s="42">
        <f t="shared" si="90"/>
        <v>223728.81355932204</v>
      </c>
      <c r="J934" s="42">
        <v>264000</v>
      </c>
      <c r="K934" s="42"/>
      <c r="L934" s="42"/>
      <c r="M934" s="42">
        <f t="shared" si="91"/>
        <v>223728.81355932204</v>
      </c>
      <c r="N934" s="42">
        <v>264000</v>
      </c>
      <c r="O934" s="42"/>
      <c r="P934" s="42">
        <f t="shared" si="87"/>
        <v>223728.81355932204</v>
      </c>
      <c r="Q934" s="42">
        <v>264000</v>
      </c>
    </row>
    <row r="935" spans="1:17" s="4" customFormat="1" ht="36.75" customHeight="1" x14ac:dyDescent="0.25">
      <c r="A935" s="18"/>
      <c r="B935" s="11" t="s">
        <v>1038</v>
      </c>
      <c r="C935" s="37" t="s">
        <v>1653</v>
      </c>
      <c r="D935" s="38"/>
      <c r="E935" s="38"/>
      <c r="F935" s="72"/>
      <c r="G935" s="34">
        <v>7783</v>
      </c>
      <c r="H935" s="37" t="s">
        <v>1321</v>
      </c>
      <c r="I935" s="42">
        <f t="shared" si="90"/>
        <v>298454.23728813563</v>
      </c>
      <c r="J935" s="42">
        <v>352176</v>
      </c>
      <c r="K935" s="42"/>
      <c r="L935" s="42"/>
      <c r="M935" s="42">
        <f t="shared" si="91"/>
        <v>298454.23728813563</v>
      </c>
      <c r="N935" s="42">
        <v>352176</v>
      </c>
      <c r="O935" s="42"/>
      <c r="P935" s="42">
        <f t="shared" si="87"/>
        <v>298454.23728813563</v>
      </c>
      <c r="Q935" s="42">
        <v>352176</v>
      </c>
    </row>
    <row r="936" spans="1:17" s="4" customFormat="1" ht="36.75" customHeight="1" x14ac:dyDescent="0.25">
      <c r="A936" s="18"/>
      <c r="B936" s="11" t="s">
        <v>1038</v>
      </c>
      <c r="C936" s="37" t="s">
        <v>1654</v>
      </c>
      <c r="D936" s="38"/>
      <c r="E936" s="38"/>
      <c r="F936" s="72"/>
      <c r="G936" s="34">
        <v>8159</v>
      </c>
      <c r="H936" s="37" t="s">
        <v>1237</v>
      </c>
      <c r="I936" s="42">
        <f>J936/1.18</f>
        <v>298454.23728813563</v>
      </c>
      <c r="J936" s="42">
        <v>352176</v>
      </c>
      <c r="K936" s="42"/>
      <c r="L936" s="42"/>
      <c r="M936" s="42">
        <f>N936/1.18</f>
        <v>298454.23728813563</v>
      </c>
      <c r="N936" s="42">
        <v>352176</v>
      </c>
      <c r="O936" s="42"/>
      <c r="P936" s="42">
        <f t="shared" si="87"/>
        <v>298454.23728813563</v>
      </c>
      <c r="Q936" s="42">
        <v>352176</v>
      </c>
    </row>
    <row r="937" spans="1:17" s="4" customFormat="1" ht="36.75" customHeight="1" x14ac:dyDescent="0.25">
      <c r="A937" s="18"/>
      <c r="B937" s="11" t="s">
        <v>1039</v>
      </c>
      <c r="C937" s="37" t="s">
        <v>1655</v>
      </c>
      <c r="D937" s="38"/>
      <c r="E937" s="38"/>
      <c r="F937" s="72"/>
      <c r="G937" s="34">
        <v>8</v>
      </c>
      <c r="H937" s="37" t="s">
        <v>1322</v>
      </c>
      <c r="I937" s="42">
        <f t="shared" ref="I937:I963" si="92">J937/1.18</f>
        <v>38500</v>
      </c>
      <c r="J937" s="42">
        <v>45430</v>
      </c>
      <c r="K937" s="42"/>
      <c r="L937" s="42"/>
      <c r="M937" s="42">
        <f t="shared" ref="M937:M963" si="93">N937/1.18</f>
        <v>38500</v>
      </c>
      <c r="N937" s="42">
        <v>45430</v>
      </c>
      <c r="O937" s="42"/>
      <c r="P937" s="42">
        <f t="shared" si="87"/>
        <v>38500</v>
      </c>
      <c r="Q937" s="42">
        <v>45430</v>
      </c>
    </row>
    <row r="938" spans="1:17" s="4" customFormat="1" ht="36.75" customHeight="1" x14ac:dyDescent="0.25">
      <c r="A938" s="18"/>
      <c r="B938" s="11" t="s">
        <v>1039</v>
      </c>
      <c r="C938" s="37" t="s">
        <v>1656</v>
      </c>
      <c r="D938" s="38"/>
      <c r="E938" s="38"/>
      <c r="F938" s="72"/>
      <c r="G938" s="34">
        <v>337</v>
      </c>
      <c r="H938" s="37" t="s">
        <v>1323</v>
      </c>
      <c r="I938" s="42">
        <f t="shared" si="92"/>
        <v>38500</v>
      </c>
      <c r="J938" s="42">
        <v>45430</v>
      </c>
      <c r="K938" s="42"/>
      <c r="L938" s="42"/>
      <c r="M938" s="42">
        <f t="shared" si="93"/>
        <v>38500</v>
      </c>
      <c r="N938" s="42">
        <v>45430</v>
      </c>
      <c r="O938" s="42"/>
      <c r="P938" s="42">
        <f t="shared" si="87"/>
        <v>38500</v>
      </c>
      <c r="Q938" s="42">
        <v>45430</v>
      </c>
    </row>
    <row r="939" spans="1:17" s="4" customFormat="1" ht="36.75" customHeight="1" x14ac:dyDescent="0.25">
      <c r="A939" s="18"/>
      <c r="B939" s="11" t="s">
        <v>1039</v>
      </c>
      <c r="C939" s="37" t="s">
        <v>1657</v>
      </c>
      <c r="D939" s="38"/>
      <c r="E939" s="38"/>
      <c r="F939" s="72"/>
      <c r="G939" s="34">
        <v>589</v>
      </c>
      <c r="H939" s="37" t="s">
        <v>1324</v>
      </c>
      <c r="I939" s="42">
        <f t="shared" si="92"/>
        <v>38500</v>
      </c>
      <c r="J939" s="42">
        <v>45430</v>
      </c>
      <c r="K939" s="42"/>
      <c r="L939" s="42"/>
      <c r="M939" s="42">
        <f t="shared" si="93"/>
        <v>38500</v>
      </c>
      <c r="N939" s="42">
        <v>45430</v>
      </c>
      <c r="O939" s="42"/>
      <c r="P939" s="42">
        <f t="shared" si="87"/>
        <v>38500</v>
      </c>
      <c r="Q939" s="42">
        <v>45430</v>
      </c>
    </row>
    <row r="940" spans="1:17" s="4" customFormat="1" ht="36.75" customHeight="1" x14ac:dyDescent="0.25">
      <c r="A940" s="18"/>
      <c r="B940" s="11" t="s">
        <v>1039</v>
      </c>
      <c r="C940" s="37" t="s">
        <v>1658</v>
      </c>
      <c r="D940" s="38"/>
      <c r="E940" s="38"/>
      <c r="F940" s="72"/>
      <c r="G940" s="34">
        <v>1025</v>
      </c>
      <c r="H940" s="37" t="s">
        <v>1325</v>
      </c>
      <c r="I940" s="42">
        <f t="shared" si="92"/>
        <v>38500</v>
      </c>
      <c r="J940" s="42">
        <v>45430</v>
      </c>
      <c r="K940" s="42"/>
      <c r="L940" s="42"/>
      <c r="M940" s="42">
        <f t="shared" si="93"/>
        <v>38500</v>
      </c>
      <c r="N940" s="42">
        <v>45430</v>
      </c>
      <c r="O940" s="42"/>
      <c r="P940" s="42">
        <f t="shared" si="87"/>
        <v>38500</v>
      </c>
      <c r="Q940" s="42">
        <v>45430</v>
      </c>
    </row>
    <row r="941" spans="1:17" s="4" customFormat="1" ht="36.75" customHeight="1" x14ac:dyDescent="0.25">
      <c r="A941" s="18"/>
      <c r="B941" s="11" t="s">
        <v>1039</v>
      </c>
      <c r="C941" s="37" t="s">
        <v>1659</v>
      </c>
      <c r="D941" s="38"/>
      <c r="E941" s="38"/>
      <c r="F941" s="72"/>
      <c r="G941" s="34">
        <v>1142</v>
      </c>
      <c r="H941" s="37" t="s">
        <v>1188</v>
      </c>
      <c r="I941" s="42">
        <f t="shared" si="92"/>
        <v>77000</v>
      </c>
      <c r="J941" s="42">
        <v>90860</v>
      </c>
      <c r="K941" s="42"/>
      <c r="L941" s="42"/>
      <c r="M941" s="42">
        <f t="shared" si="93"/>
        <v>77000</v>
      </c>
      <c r="N941" s="42">
        <v>90860</v>
      </c>
      <c r="O941" s="42"/>
      <c r="P941" s="42">
        <f t="shared" si="87"/>
        <v>77000</v>
      </c>
      <c r="Q941" s="42">
        <v>90860</v>
      </c>
    </row>
    <row r="942" spans="1:17" s="4" customFormat="1" ht="36.75" customHeight="1" x14ac:dyDescent="0.25">
      <c r="A942" s="18"/>
      <c r="B942" s="11" t="s">
        <v>1039</v>
      </c>
      <c r="C942" s="37" t="s">
        <v>1660</v>
      </c>
      <c r="D942" s="38"/>
      <c r="E942" s="38"/>
      <c r="F942" s="72"/>
      <c r="G942" s="34">
        <v>1428</v>
      </c>
      <c r="H942" s="37" t="s">
        <v>1326</v>
      </c>
      <c r="I942" s="42">
        <f t="shared" si="92"/>
        <v>77000</v>
      </c>
      <c r="J942" s="42">
        <v>90860</v>
      </c>
      <c r="K942" s="42"/>
      <c r="L942" s="42"/>
      <c r="M942" s="42">
        <f t="shared" si="93"/>
        <v>77000</v>
      </c>
      <c r="N942" s="42">
        <v>90860</v>
      </c>
      <c r="O942" s="42"/>
      <c r="P942" s="42">
        <f t="shared" si="87"/>
        <v>77000</v>
      </c>
      <c r="Q942" s="42">
        <v>90860</v>
      </c>
    </row>
    <row r="943" spans="1:17" s="4" customFormat="1" ht="36.75" customHeight="1" x14ac:dyDescent="0.25">
      <c r="A943" s="18"/>
      <c r="B943" s="11" t="s">
        <v>1039</v>
      </c>
      <c r="C943" s="37" t="s">
        <v>1661</v>
      </c>
      <c r="D943" s="38"/>
      <c r="E943" s="38"/>
      <c r="F943" s="72"/>
      <c r="G943" s="34">
        <v>1584</v>
      </c>
      <c r="H943" s="37" t="s">
        <v>1327</v>
      </c>
      <c r="I943" s="42">
        <f t="shared" si="92"/>
        <v>77000</v>
      </c>
      <c r="J943" s="42">
        <v>90860</v>
      </c>
      <c r="K943" s="42"/>
      <c r="L943" s="42"/>
      <c r="M943" s="42">
        <f t="shared" si="93"/>
        <v>77000</v>
      </c>
      <c r="N943" s="42">
        <v>90860</v>
      </c>
      <c r="O943" s="42"/>
      <c r="P943" s="42">
        <f t="shared" si="87"/>
        <v>77000</v>
      </c>
      <c r="Q943" s="42">
        <v>90860</v>
      </c>
    </row>
    <row r="944" spans="1:17" s="4" customFormat="1" ht="36.75" customHeight="1" x14ac:dyDescent="0.25">
      <c r="A944" s="18"/>
      <c r="B944" s="11" t="s">
        <v>1039</v>
      </c>
      <c r="C944" s="37" t="s">
        <v>1662</v>
      </c>
      <c r="D944" s="38"/>
      <c r="E944" s="38"/>
      <c r="F944" s="72"/>
      <c r="G944" s="34">
        <v>1840</v>
      </c>
      <c r="H944" s="37" t="s">
        <v>1191</v>
      </c>
      <c r="I944" s="42">
        <f>J944/1.18</f>
        <v>77000</v>
      </c>
      <c r="J944" s="42">
        <v>90860</v>
      </c>
      <c r="K944" s="42"/>
      <c r="L944" s="42"/>
      <c r="M944" s="42">
        <f>N944/1.18</f>
        <v>77000</v>
      </c>
      <c r="N944" s="42">
        <v>90860</v>
      </c>
      <c r="O944" s="42"/>
      <c r="P944" s="42">
        <f t="shared" si="87"/>
        <v>77000</v>
      </c>
      <c r="Q944" s="42">
        <v>90860</v>
      </c>
    </row>
    <row r="945" spans="1:17" s="4" customFormat="1" ht="36.75" customHeight="1" x14ac:dyDescent="0.25">
      <c r="A945" s="18"/>
      <c r="B945" s="11" t="s">
        <v>1039</v>
      </c>
      <c r="C945" s="37" t="s">
        <v>1663</v>
      </c>
      <c r="D945" s="38"/>
      <c r="E945" s="38"/>
      <c r="F945" s="72"/>
      <c r="G945" s="34">
        <v>2071</v>
      </c>
      <c r="H945" s="37" t="s">
        <v>1267</v>
      </c>
      <c r="I945" s="42">
        <f t="shared" si="92"/>
        <v>77000</v>
      </c>
      <c r="J945" s="42">
        <v>90860</v>
      </c>
      <c r="K945" s="42"/>
      <c r="L945" s="42"/>
      <c r="M945" s="42">
        <f t="shared" si="93"/>
        <v>77000</v>
      </c>
      <c r="N945" s="42">
        <v>90860</v>
      </c>
      <c r="O945" s="42"/>
      <c r="P945" s="42">
        <f>M945</f>
        <v>77000</v>
      </c>
      <c r="Q945" s="42">
        <v>90860</v>
      </c>
    </row>
    <row r="946" spans="1:17" s="4" customFormat="1" ht="36.75" customHeight="1" x14ac:dyDescent="0.25">
      <c r="A946" s="18"/>
      <c r="B946" s="11" t="s">
        <v>1039</v>
      </c>
      <c r="C946" s="37" t="s">
        <v>1664</v>
      </c>
      <c r="D946" s="38"/>
      <c r="E946" s="38"/>
      <c r="F946" s="72"/>
      <c r="G946" s="34">
        <v>2375</v>
      </c>
      <c r="H946" s="37" t="s">
        <v>1328</v>
      </c>
      <c r="I946" s="42">
        <f t="shared" si="92"/>
        <v>77000</v>
      </c>
      <c r="J946" s="42">
        <v>90860</v>
      </c>
      <c r="K946" s="42"/>
      <c r="L946" s="42"/>
      <c r="M946" s="42">
        <f t="shared" si="93"/>
        <v>77000</v>
      </c>
      <c r="N946" s="42">
        <v>90860</v>
      </c>
      <c r="O946" s="42"/>
      <c r="P946" s="42">
        <f t="shared" si="87"/>
        <v>77000</v>
      </c>
      <c r="Q946" s="42">
        <v>90860</v>
      </c>
    </row>
    <row r="947" spans="1:17" s="4" customFormat="1" ht="36.75" customHeight="1" x14ac:dyDescent="0.25">
      <c r="A947" s="18"/>
      <c r="B947" s="11" t="s">
        <v>1039</v>
      </c>
      <c r="C947" s="37" t="s">
        <v>1664</v>
      </c>
      <c r="D947" s="38"/>
      <c r="E947" s="38"/>
      <c r="F947" s="72"/>
      <c r="G947" s="34">
        <v>2502</v>
      </c>
      <c r="H947" s="37" t="s">
        <v>1297</v>
      </c>
      <c r="I947" s="42">
        <f t="shared" si="92"/>
        <v>42372.881355932208</v>
      </c>
      <c r="J947" s="42">
        <v>50000</v>
      </c>
      <c r="K947" s="42"/>
      <c r="L947" s="42"/>
      <c r="M947" s="42">
        <f t="shared" si="93"/>
        <v>42372.881355932208</v>
      </c>
      <c r="N947" s="42">
        <v>50000</v>
      </c>
      <c r="O947" s="42"/>
      <c r="P947" s="42">
        <f t="shared" si="87"/>
        <v>42372.881355932208</v>
      </c>
      <c r="Q947" s="42">
        <v>50000</v>
      </c>
    </row>
    <row r="948" spans="1:17" s="4" customFormat="1" ht="36.75" customHeight="1" x14ac:dyDescent="0.25">
      <c r="A948" s="18"/>
      <c r="B948" s="11" t="s">
        <v>1039</v>
      </c>
      <c r="C948" s="37" t="s">
        <v>1664</v>
      </c>
      <c r="D948" s="38"/>
      <c r="E948" s="38"/>
      <c r="F948" s="72"/>
      <c r="G948" s="34">
        <v>2595</v>
      </c>
      <c r="H948" s="37" t="s">
        <v>1329</v>
      </c>
      <c r="I948" s="42">
        <f t="shared" si="92"/>
        <v>45627.118644067799</v>
      </c>
      <c r="J948" s="42">
        <v>53840</v>
      </c>
      <c r="K948" s="42"/>
      <c r="L948" s="42"/>
      <c r="M948" s="42">
        <f t="shared" si="93"/>
        <v>45627.118644067799</v>
      </c>
      <c r="N948" s="42">
        <v>53840</v>
      </c>
      <c r="O948" s="42"/>
      <c r="P948" s="42">
        <f t="shared" si="87"/>
        <v>45627.118644067799</v>
      </c>
      <c r="Q948" s="42">
        <v>53840</v>
      </c>
    </row>
    <row r="949" spans="1:17" s="4" customFormat="1" ht="36.75" customHeight="1" x14ac:dyDescent="0.25">
      <c r="A949" s="18"/>
      <c r="B949" s="11" t="s">
        <v>1039</v>
      </c>
      <c r="C949" s="37" t="s">
        <v>1665</v>
      </c>
      <c r="D949" s="38"/>
      <c r="E949" s="38"/>
      <c r="F949" s="72"/>
      <c r="G949" s="34">
        <v>2721</v>
      </c>
      <c r="H949" s="37" t="s">
        <v>1246</v>
      </c>
      <c r="I949" s="42">
        <f t="shared" si="92"/>
        <v>166400</v>
      </c>
      <c r="J949" s="42">
        <v>196352</v>
      </c>
      <c r="K949" s="42"/>
      <c r="L949" s="42"/>
      <c r="M949" s="42">
        <f t="shared" si="93"/>
        <v>166400</v>
      </c>
      <c r="N949" s="42">
        <v>196352</v>
      </c>
      <c r="O949" s="42"/>
      <c r="P949" s="42">
        <f t="shared" si="87"/>
        <v>166400</v>
      </c>
      <c r="Q949" s="42">
        <v>196352</v>
      </c>
    </row>
    <row r="950" spans="1:17" s="4" customFormat="1" ht="36.75" customHeight="1" x14ac:dyDescent="0.25">
      <c r="A950" s="18"/>
      <c r="B950" s="11" t="s">
        <v>1039</v>
      </c>
      <c r="C950" s="37" t="s">
        <v>1666</v>
      </c>
      <c r="D950" s="38"/>
      <c r="E950" s="38"/>
      <c r="F950" s="72"/>
      <c r="G950" s="34">
        <v>2944</v>
      </c>
      <c r="H950" s="37" t="s">
        <v>1330</v>
      </c>
      <c r="I950" s="42">
        <f>J950/1.18</f>
        <v>127500</v>
      </c>
      <c r="J950" s="42">
        <v>150450</v>
      </c>
      <c r="K950" s="42"/>
      <c r="L950" s="42"/>
      <c r="M950" s="42">
        <f>N950/1.18</f>
        <v>127500</v>
      </c>
      <c r="N950" s="42">
        <v>150450</v>
      </c>
      <c r="O950" s="42"/>
      <c r="P950" s="42">
        <f t="shared" si="87"/>
        <v>127500</v>
      </c>
      <c r="Q950" s="42">
        <v>150450</v>
      </c>
    </row>
    <row r="951" spans="1:17" s="4" customFormat="1" ht="36.75" customHeight="1" x14ac:dyDescent="0.25">
      <c r="A951" s="18"/>
      <c r="B951" s="11" t="s">
        <v>1039</v>
      </c>
      <c r="C951" s="37" t="s">
        <v>1667</v>
      </c>
      <c r="D951" s="38"/>
      <c r="E951" s="38"/>
      <c r="F951" s="72"/>
      <c r="G951" s="34">
        <v>3115</v>
      </c>
      <c r="H951" s="37" t="s">
        <v>1331</v>
      </c>
      <c r="I951" s="42">
        <f t="shared" si="92"/>
        <v>127500</v>
      </c>
      <c r="J951" s="42">
        <v>150450</v>
      </c>
      <c r="K951" s="42"/>
      <c r="L951" s="42"/>
      <c r="M951" s="42">
        <f t="shared" si="93"/>
        <v>127500</v>
      </c>
      <c r="N951" s="42">
        <v>150450</v>
      </c>
      <c r="O951" s="42"/>
      <c r="P951" s="42">
        <f t="shared" si="87"/>
        <v>127500</v>
      </c>
      <c r="Q951" s="42">
        <v>150450</v>
      </c>
    </row>
    <row r="952" spans="1:17" s="4" customFormat="1" ht="36.75" customHeight="1" x14ac:dyDescent="0.25">
      <c r="A952" s="18"/>
      <c r="B952" s="11" t="s">
        <v>1039</v>
      </c>
      <c r="C952" s="37" t="s">
        <v>1668</v>
      </c>
      <c r="D952" s="38"/>
      <c r="E952" s="38"/>
      <c r="F952" s="72"/>
      <c r="G952" s="34">
        <v>3337</v>
      </c>
      <c r="H952" s="37" t="s">
        <v>1332</v>
      </c>
      <c r="I952" s="42">
        <f t="shared" si="92"/>
        <v>64406.881355932201</v>
      </c>
      <c r="J952" s="42">
        <v>76000.12</v>
      </c>
      <c r="K952" s="42"/>
      <c r="L952" s="42"/>
      <c r="M952" s="42">
        <f t="shared" si="93"/>
        <v>64406.881355932201</v>
      </c>
      <c r="N952" s="42">
        <v>76000.12</v>
      </c>
      <c r="O952" s="42"/>
      <c r="P952" s="42">
        <f t="shared" si="87"/>
        <v>64406.881355932201</v>
      </c>
      <c r="Q952" s="42">
        <v>76000.12</v>
      </c>
    </row>
    <row r="953" spans="1:17" s="4" customFormat="1" ht="36.75" customHeight="1" x14ac:dyDescent="0.25">
      <c r="A953" s="18"/>
      <c r="B953" s="11" t="s">
        <v>1039</v>
      </c>
      <c r="C953" s="37" t="s">
        <v>1669</v>
      </c>
      <c r="D953" s="38"/>
      <c r="E953" s="38"/>
      <c r="F953" s="72"/>
      <c r="G953" s="34">
        <v>3375</v>
      </c>
      <c r="H953" s="37" t="s">
        <v>1333</v>
      </c>
      <c r="I953" s="42">
        <f t="shared" si="92"/>
        <v>42372.881355932208</v>
      </c>
      <c r="J953" s="42">
        <v>50000</v>
      </c>
      <c r="K953" s="42"/>
      <c r="L953" s="42"/>
      <c r="M953" s="42">
        <f t="shared" si="93"/>
        <v>42372.881355932208</v>
      </c>
      <c r="N953" s="42">
        <v>50000</v>
      </c>
      <c r="O953" s="42"/>
      <c r="P953" s="42">
        <f t="shared" si="87"/>
        <v>42372.881355932208</v>
      </c>
      <c r="Q953" s="42">
        <v>50000</v>
      </c>
    </row>
    <row r="954" spans="1:17" s="4" customFormat="1" ht="36.75" customHeight="1" x14ac:dyDescent="0.25">
      <c r="A954" s="18"/>
      <c r="B954" s="11" t="s">
        <v>1039</v>
      </c>
      <c r="C954" s="37" t="s">
        <v>1670</v>
      </c>
      <c r="D954" s="38"/>
      <c r="E954" s="38"/>
      <c r="F954" s="72"/>
      <c r="G954" s="34">
        <v>9102</v>
      </c>
      <c r="H954" s="37" t="s">
        <v>1334</v>
      </c>
      <c r="I954" s="42">
        <f t="shared" si="92"/>
        <v>29400</v>
      </c>
      <c r="J954" s="42">
        <v>34692</v>
      </c>
      <c r="K954" s="42"/>
      <c r="L954" s="42"/>
      <c r="M954" s="42">
        <f t="shared" si="93"/>
        <v>29400</v>
      </c>
      <c r="N954" s="42">
        <v>34692</v>
      </c>
      <c r="O954" s="42"/>
      <c r="P954" s="42">
        <f t="shared" si="87"/>
        <v>29400</v>
      </c>
      <c r="Q954" s="42">
        <v>34692</v>
      </c>
    </row>
    <row r="955" spans="1:17" s="4" customFormat="1" ht="36.75" customHeight="1" x14ac:dyDescent="0.25">
      <c r="A955" s="18"/>
      <c r="B955" s="11" t="s">
        <v>1040</v>
      </c>
      <c r="C955" s="37" t="s">
        <v>1671</v>
      </c>
      <c r="D955" s="38"/>
      <c r="E955" s="38"/>
      <c r="F955" s="72"/>
      <c r="G955" s="34">
        <v>1266</v>
      </c>
      <c r="H955" s="37" t="s">
        <v>1160</v>
      </c>
      <c r="I955" s="42">
        <f t="shared" si="92"/>
        <v>62677.966101694918</v>
      </c>
      <c r="J955" s="42">
        <v>73960</v>
      </c>
      <c r="K955" s="42"/>
      <c r="L955" s="42"/>
      <c r="M955" s="42">
        <f t="shared" si="93"/>
        <v>62677.966101694918</v>
      </c>
      <c r="N955" s="42">
        <v>73960</v>
      </c>
      <c r="O955" s="42"/>
      <c r="P955" s="42">
        <f t="shared" si="87"/>
        <v>62677.966101694918</v>
      </c>
      <c r="Q955" s="42">
        <v>73960</v>
      </c>
    </row>
    <row r="956" spans="1:17" s="4" customFormat="1" ht="36.75" customHeight="1" x14ac:dyDescent="0.25">
      <c r="A956" s="18"/>
      <c r="B956" s="11" t="s">
        <v>1040</v>
      </c>
      <c r="C956" s="37" t="s">
        <v>1672</v>
      </c>
      <c r="D956" s="38"/>
      <c r="E956" s="38"/>
      <c r="F956" s="72"/>
      <c r="G956" s="34">
        <v>1667</v>
      </c>
      <c r="H956" s="37" t="s">
        <v>1335</v>
      </c>
      <c r="I956" s="42">
        <f t="shared" si="92"/>
        <v>86006.779661016961</v>
      </c>
      <c r="J956" s="42">
        <v>101488</v>
      </c>
      <c r="K956" s="42"/>
      <c r="L956" s="42"/>
      <c r="M956" s="42">
        <f t="shared" si="93"/>
        <v>86006.779661016961</v>
      </c>
      <c r="N956" s="42">
        <v>101488</v>
      </c>
      <c r="O956" s="42"/>
      <c r="P956" s="42">
        <f t="shared" si="87"/>
        <v>86006.779661016961</v>
      </c>
      <c r="Q956" s="42">
        <v>101488</v>
      </c>
    </row>
    <row r="957" spans="1:17" s="4" customFormat="1" ht="36.75" customHeight="1" x14ac:dyDescent="0.25">
      <c r="A957" s="18"/>
      <c r="B957" s="11" t="s">
        <v>1041</v>
      </c>
      <c r="C957" s="37" t="s">
        <v>1673</v>
      </c>
      <c r="D957" s="38"/>
      <c r="E957" s="38"/>
      <c r="F957" s="72"/>
      <c r="G957" s="34">
        <v>1289</v>
      </c>
      <c r="H957" s="37" t="s">
        <v>1336</v>
      </c>
      <c r="I957" s="42">
        <f t="shared" si="92"/>
        <v>548474.57627118647</v>
      </c>
      <c r="J957" s="42">
        <v>647200</v>
      </c>
      <c r="K957" s="42"/>
      <c r="L957" s="42"/>
      <c r="M957" s="42">
        <f t="shared" si="93"/>
        <v>548474.57627118647</v>
      </c>
      <c r="N957" s="42">
        <v>647200</v>
      </c>
      <c r="O957" s="42"/>
      <c r="P957" s="42">
        <f t="shared" si="87"/>
        <v>548474.57627118647</v>
      </c>
      <c r="Q957" s="42">
        <v>647200</v>
      </c>
    </row>
    <row r="958" spans="1:17" s="4" customFormat="1" ht="36.75" customHeight="1" x14ac:dyDescent="0.25">
      <c r="A958" s="18"/>
      <c r="B958" s="11" t="s">
        <v>1042</v>
      </c>
      <c r="C958" s="37" t="s">
        <v>1674</v>
      </c>
      <c r="D958" s="38"/>
      <c r="E958" s="38"/>
      <c r="F958" s="72"/>
      <c r="G958" s="34">
        <v>3741</v>
      </c>
      <c r="H958" s="37" t="s">
        <v>1337</v>
      </c>
      <c r="I958" s="42">
        <f t="shared" si="92"/>
        <v>105932.20338983051</v>
      </c>
      <c r="J958" s="42">
        <v>125000</v>
      </c>
      <c r="K958" s="42"/>
      <c r="L958" s="42"/>
      <c r="M958" s="42">
        <f t="shared" si="93"/>
        <v>105932.20338983051</v>
      </c>
      <c r="N958" s="42">
        <v>125000</v>
      </c>
      <c r="O958" s="42"/>
      <c r="P958" s="42">
        <f t="shared" si="87"/>
        <v>105932.20338983051</v>
      </c>
      <c r="Q958" s="42">
        <v>125000</v>
      </c>
    </row>
    <row r="959" spans="1:17" s="4" customFormat="1" ht="36.75" customHeight="1" x14ac:dyDescent="0.25">
      <c r="A959" s="18"/>
      <c r="B959" s="11" t="s">
        <v>1787</v>
      </c>
      <c r="C959" s="37" t="s">
        <v>1788</v>
      </c>
      <c r="D959" s="38" t="s">
        <v>1789</v>
      </c>
      <c r="E959" s="38"/>
      <c r="F959" s="72"/>
      <c r="G959" s="34">
        <v>19483</v>
      </c>
      <c r="H959" s="49">
        <v>42733</v>
      </c>
      <c r="I959" s="42">
        <f t="shared" si="92"/>
        <v>374264.40677966102</v>
      </c>
      <c r="J959" s="42">
        <v>441632</v>
      </c>
      <c r="K959" s="42"/>
      <c r="L959" s="42"/>
      <c r="M959" s="42">
        <f t="shared" si="93"/>
        <v>374264.40677966102</v>
      </c>
      <c r="N959" s="42">
        <v>441632</v>
      </c>
      <c r="O959" s="42"/>
      <c r="P959" s="42">
        <f t="shared" si="87"/>
        <v>374264.40677966102</v>
      </c>
      <c r="Q959" s="42">
        <v>441632</v>
      </c>
    </row>
    <row r="960" spans="1:17" s="4" customFormat="1" ht="36.75" customHeight="1" x14ac:dyDescent="0.25">
      <c r="A960" s="18"/>
      <c r="B960" s="11" t="s">
        <v>1790</v>
      </c>
      <c r="C960" s="37" t="s">
        <v>1791</v>
      </c>
      <c r="D960" s="38" t="s">
        <v>1792</v>
      </c>
      <c r="E960" s="38"/>
      <c r="F960" s="72"/>
      <c r="G960" s="34">
        <v>188</v>
      </c>
      <c r="H960" s="49">
        <v>42748</v>
      </c>
      <c r="I960" s="42">
        <f t="shared" si="92"/>
        <v>130934.74576271187</v>
      </c>
      <c r="J960" s="42">
        <v>154503</v>
      </c>
      <c r="K960" s="42"/>
      <c r="L960" s="42"/>
      <c r="M960" s="42">
        <f t="shared" si="93"/>
        <v>130934.74576271187</v>
      </c>
      <c r="N960" s="42">
        <v>154503</v>
      </c>
      <c r="O960" s="42"/>
      <c r="P960" s="42">
        <f t="shared" si="87"/>
        <v>130934.74576271187</v>
      </c>
      <c r="Q960" s="42">
        <v>154503</v>
      </c>
    </row>
    <row r="961" spans="1:17" s="4" customFormat="1" ht="36.75" customHeight="1" x14ac:dyDescent="0.25">
      <c r="A961" s="18"/>
      <c r="B961" s="11" t="s">
        <v>1829</v>
      </c>
      <c r="C961" s="37" t="s">
        <v>1830</v>
      </c>
      <c r="D961" s="38" t="s">
        <v>1831</v>
      </c>
      <c r="E961" s="38"/>
      <c r="F961" s="72"/>
      <c r="G961" s="34">
        <v>49994</v>
      </c>
      <c r="H961" s="49">
        <v>42961</v>
      </c>
      <c r="I961" s="42">
        <f t="shared" si="92"/>
        <v>6686.3983050847455</v>
      </c>
      <c r="J961" s="42">
        <v>7889.95</v>
      </c>
      <c r="K961" s="42"/>
      <c r="L961" s="42"/>
      <c r="M961" s="42">
        <f t="shared" si="93"/>
        <v>6686.3983050847455</v>
      </c>
      <c r="N961" s="42">
        <v>7889.95</v>
      </c>
      <c r="O961" s="42"/>
      <c r="P961" s="42">
        <f t="shared" si="87"/>
        <v>6686.3983050847455</v>
      </c>
      <c r="Q961" s="42">
        <v>7889.95</v>
      </c>
    </row>
    <row r="962" spans="1:17" s="4" customFormat="1" ht="36.75" customHeight="1" x14ac:dyDescent="0.25">
      <c r="A962" s="18"/>
      <c r="B962" s="11" t="s">
        <v>1829</v>
      </c>
      <c r="C962" s="37" t="s">
        <v>1832</v>
      </c>
      <c r="D962" s="38" t="s">
        <v>174</v>
      </c>
      <c r="E962" s="38"/>
      <c r="F962" s="72"/>
      <c r="G962" s="34">
        <v>49621</v>
      </c>
      <c r="H962" s="49">
        <v>42951</v>
      </c>
      <c r="I962" s="42">
        <f t="shared" si="92"/>
        <v>18126.822033898308</v>
      </c>
      <c r="J962" s="42">
        <v>21389.65</v>
      </c>
      <c r="K962" s="42"/>
      <c r="L962" s="42"/>
      <c r="M962" s="42">
        <f t="shared" si="93"/>
        <v>18126.822033898308</v>
      </c>
      <c r="N962" s="42">
        <v>21389.65</v>
      </c>
      <c r="O962" s="42"/>
      <c r="P962" s="42">
        <f t="shared" si="87"/>
        <v>18126.822033898308</v>
      </c>
      <c r="Q962" s="42">
        <v>21389.65</v>
      </c>
    </row>
    <row r="963" spans="1:17" s="4" customFormat="1" ht="36.75" customHeight="1" x14ac:dyDescent="0.25">
      <c r="A963" s="18"/>
      <c r="B963" s="11" t="s">
        <v>1833</v>
      </c>
      <c r="C963" s="37" t="s">
        <v>1834</v>
      </c>
      <c r="D963" s="38" t="s">
        <v>1835</v>
      </c>
      <c r="E963" s="38"/>
      <c r="F963" s="72"/>
      <c r="G963" s="34">
        <v>21908</v>
      </c>
      <c r="H963" s="49">
        <v>42769</v>
      </c>
      <c r="I963" s="42">
        <f t="shared" si="92"/>
        <v>78254.237288135599</v>
      </c>
      <c r="J963" s="42">
        <v>92340</v>
      </c>
      <c r="K963" s="42"/>
      <c r="L963" s="42"/>
      <c r="M963" s="42">
        <f t="shared" si="93"/>
        <v>78254.237288135599</v>
      </c>
      <c r="N963" s="42">
        <v>92340</v>
      </c>
      <c r="O963" s="42"/>
      <c r="P963" s="42">
        <f t="shared" si="87"/>
        <v>78254.237288135599</v>
      </c>
      <c r="Q963" s="42">
        <v>92340</v>
      </c>
    </row>
    <row r="964" spans="1:17" ht="83.25" customHeight="1" x14ac:dyDescent="0.25">
      <c r="A964" s="9">
        <v>5</v>
      </c>
      <c r="B964" s="11" t="s">
        <v>20</v>
      </c>
      <c r="C964" s="37"/>
      <c r="D964" s="38"/>
      <c r="E964" s="38"/>
      <c r="F964" s="72"/>
      <c r="G964" s="37"/>
      <c r="H964" s="37"/>
      <c r="I964" s="42"/>
      <c r="J964" s="42"/>
      <c r="K964" s="42"/>
      <c r="L964" s="42"/>
      <c r="M964" s="42"/>
      <c r="N964" s="42"/>
      <c r="O964" s="42"/>
      <c r="P964" s="42">
        <f t="shared" si="87"/>
        <v>0</v>
      </c>
      <c r="Q964" s="42">
        <f t="shared" si="51"/>
        <v>0</v>
      </c>
    </row>
    <row r="965" spans="1:17" x14ac:dyDescent="0.25">
      <c r="A965" s="9"/>
      <c r="B965" s="11" t="s">
        <v>1</v>
      </c>
      <c r="C965" s="37"/>
      <c r="D965" s="61"/>
      <c r="E965" s="61"/>
      <c r="F965" s="72">
        <f>SUM(F13:F13)</f>
        <v>0</v>
      </c>
      <c r="G965" s="37"/>
      <c r="H965" s="37"/>
      <c r="I965" s="25">
        <f>SUM(I11:I964)</f>
        <v>323809765.25966114</v>
      </c>
      <c r="J965" s="25">
        <f>SUM(J11:J964)</f>
        <v>362950829.57999986</v>
      </c>
      <c r="K965" s="25"/>
      <c r="L965" s="25"/>
      <c r="M965" s="25">
        <f>SUM(M11:M964)</f>
        <v>323495974.54186457</v>
      </c>
      <c r="N965" s="25">
        <f>SUM(N11:N964)</f>
        <v>364693832.74542361</v>
      </c>
      <c r="O965" s="25">
        <f>SUM(O11:O964)</f>
        <v>0</v>
      </c>
      <c r="P965" s="25">
        <f>SUM(P11:P964)</f>
        <v>323495974.54186457</v>
      </c>
      <c r="Q965" s="25">
        <f>SUM(Q11:Q964)</f>
        <v>364693832.74542361</v>
      </c>
    </row>
    <row r="966" spans="1:17" x14ac:dyDescent="0.25">
      <c r="A966" s="19"/>
      <c r="B966" s="12"/>
      <c r="C966" s="62"/>
      <c r="D966" s="63"/>
      <c r="E966" s="63"/>
      <c r="F966" s="73"/>
      <c r="G966" s="62"/>
      <c r="H966" s="62"/>
      <c r="I966" s="62"/>
      <c r="J966" s="62"/>
      <c r="K966" s="62"/>
      <c r="L966" s="62"/>
    </row>
    <row r="967" spans="1:17" x14ac:dyDescent="0.25">
      <c r="A967" s="19"/>
      <c r="B967" s="12"/>
      <c r="C967" s="62"/>
      <c r="D967" s="63"/>
      <c r="E967" s="63"/>
      <c r="F967" s="73"/>
      <c r="G967" s="62"/>
      <c r="H967" s="62"/>
      <c r="I967" s="62"/>
      <c r="J967" s="62"/>
      <c r="K967" s="62"/>
      <c r="L967" s="32"/>
      <c r="Q967" s="33" t="s">
        <v>13</v>
      </c>
    </row>
    <row r="968" spans="1:17" ht="75" customHeight="1" x14ac:dyDescent="0.25">
      <c r="A968" s="387" t="s">
        <v>21</v>
      </c>
      <c r="B968" s="387"/>
      <c r="C968" s="387"/>
      <c r="D968" s="387"/>
      <c r="E968" s="387"/>
      <c r="F968" s="387"/>
      <c r="G968" s="387"/>
      <c r="H968" s="387"/>
      <c r="I968" s="387"/>
      <c r="J968" s="387"/>
      <c r="K968" s="387"/>
      <c r="L968" s="387"/>
      <c r="M968" s="387"/>
      <c r="N968" s="387"/>
      <c r="O968" s="387"/>
      <c r="P968" s="387"/>
      <c r="Q968" s="387"/>
    </row>
    <row r="969" spans="1:17" x14ac:dyDescent="0.25">
      <c r="A969" s="8"/>
      <c r="B969" s="8"/>
      <c r="C969" s="33"/>
      <c r="D969" s="33"/>
      <c r="E969" s="33"/>
      <c r="F969" s="70"/>
      <c r="G969" s="33"/>
      <c r="H969" s="33"/>
      <c r="I969" s="33"/>
      <c r="J969" s="33"/>
      <c r="K969" s="33"/>
      <c r="L969" s="33"/>
    </row>
    <row r="970" spans="1:17" ht="73.5" customHeight="1" x14ac:dyDescent="0.25">
      <c r="A970" s="9" t="s">
        <v>14</v>
      </c>
      <c r="B970" s="9" t="s">
        <v>0</v>
      </c>
      <c r="C970" s="34" t="s">
        <v>24</v>
      </c>
      <c r="D970" s="34" t="s">
        <v>25</v>
      </c>
      <c r="E970" s="34" t="s">
        <v>22</v>
      </c>
      <c r="F970" s="71" t="s">
        <v>11</v>
      </c>
      <c r="G970" s="34" t="s">
        <v>26</v>
      </c>
      <c r="H970" s="34" t="s">
        <v>27</v>
      </c>
      <c r="I970" s="34" t="s">
        <v>31</v>
      </c>
      <c r="J970" s="34" t="s">
        <v>39</v>
      </c>
      <c r="K970" s="34" t="s">
        <v>28</v>
      </c>
      <c r="L970" s="34" t="s">
        <v>29</v>
      </c>
      <c r="M970" s="34" t="s">
        <v>41</v>
      </c>
      <c r="N970" s="34" t="s">
        <v>40</v>
      </c>
      <c r="O970" s="34" t="s">
        <v>23</v>
      </c>
      <c r="P970" s="34" t="s">
        <v>30</v>
      </c>
      <c r="Q970" s="34" t="s">
        <v>42</v>
      </c>
    </row>
    <row r="971" spans="1:17" x14ac:dyDescent="0.25">
      <c r="A971" s="9">
        <v>1</v>
      </c>
      <c r="B971" s="9">
        <v>2</v>
      </c>
      <c r="C971" s="34">
        <v>3</v>
      </c>
      <c r="D971" s="34">
        <v>4</v>
      </c>
      <c r="E971" s="34">
        <v>5</v>
      </c>
      <c r="F971" s="71">
        <v>6</v>
      </c>
      <c r="G971" s="34">
        <v>7</v>
      </c>
      <c r="H971" s="34">
        <v>8</v>
      </c>
      <c r="I971" s="34">
        <v>9</v>
      </c>
      <c r="J971" s="34">
        <v>10</v>
      </c>
      <c r="K971" s="34">
        <v>11</v>
      </c>
      <c r="L971" s="34">
        <v>12</v>
      </c>
      <c r="M971" s="34">
        <v>13</v>
      </c>
      <c r="N971" s="34">
        <v>14</v>
      </c>
      <c r="O971" s="34">
        <v>15</v>
      </c>
      <c r="P971" s="34">
        <v>16</v>
      </c>
      <c r="Q971" s="34">
        <v>17</v>
      </c>
    </row>
    <row r="972" spans="1:17" ht="41.25" customHeight="1" x14ac:dyDescent="0.25">
      <c r="A972" s="9">
        <v>1</v>
      </c>
      <c r="B972" s="13" t="s">
        <v>37</v>
      </c>
      <c r="C972" s="20" t="s">
        <v>48</v>
      </c>
      <c r="D972" s="20" t="s">
        <v>48</v>
      </c>
      <c r="E972" s="20" t="s">
        <v>48</v>
      </c>
      <c r="F972" s="74" t="s">
        <v>48</v>
      </c>
      <c r="G972" s="20" t="s">
        <v>48</v>
      </c>
      <c r="H972" s="20" t="s">
        <v>48</v>
      </c>
      <c r="I972" s="20" t="s">
        <v>48</v>
      </c>
      <c r="J972" s="20" t="s">
        <v>48</v>
      </c>
      <c r="K972" s="20" t="s">
        <v>48</v>
      </c>
      <c r="L972" s="20" t="s">
        <v>48</v>
      </c>
      <c r="M972" s="64" t="s">
        <v>48</v>
      </c>
      <c r="N972" s="64" t="s">
        <v>48</v>
      </c>
      <c r="O972" s="64" t="s">
        <v>48</v>
      </c>
      <c r="P972" s="64" t="s">
        <v>48</v>
      </c>
      <c r="Q972" s="64" t="s">
        <v>48</v>
      </c>
    </row>
    <row r="973" spans="1:17" ht="46.5" customHeight="1" x14ac:dyDescent="0.25">
      <c r="A973" s="9">
        <v>2</v>
      </c>
      <c r="B973" s="13" t="s">
        <v>36</v>
      </c>
      <c r="C973" s="20" t="s">
        <v>48</v>
      </c>
      <c r="D973" s="20" t="s">
        <v>48</v>
      </c>
      <c r="E973" s="20" t="s">
        <v>48</v>
      </c>
      <c r="F973" s="74" t="s">
        <v>48</v>
      </c>
      <c r="G973" s="20" t="s">
        <v>48</v>
      </c>
      <c r="H973" s="20" t="s">
        <v>48</v>
      </c>
      <c r="I973" s="20" t="s">
        <v>48</v>
      </c>
      <c r="J973" s="20" t="s">
        <v>48</v>
      </c>
      <c r="K973" s="20" t="s">
        <v>48</v>
      </c>
      <c r="L973" s="20" t="s">
        <v>48</v>
      </c>
      <c r="M973" s="64" t="s">
        <v>48</v>
      </c>
      <c r="N973" s="64" t="s">
        <v>48</v>
      </c>
      <c r="O973" s="64" t="s">
        <v>48</v>
      </c>
      <c r="P973" s="64" t="s">
        <v>48</v>
      </c>
      <c r="Q973" s="64" t="s">
        <v>48</v>
      </c>
    </row>
    <row r="974" spans="1:17" ht="56.25" customHeight="1" x14ac:dyDescent="0.25">
      <c r="A974" s="9">
        <v>3</v>
      </c>
      <c r="B974" s="13" t="s">
        <v>35</v>
      </c>
      <c r="C974" s="20" t="s">
        <v>48</v>
      </c>
      <c r="D974" s="21" t="s">
        <v>48</v>
      </c>
      <c r="E974" s="21" t="s">
        <v>48</v>
      </c>
      <c r="F974" s="74" t="s">
        <v>48</v>
      </c>
      <c r="G974" s="20" t="s">
        <v>48</v>
      </c>
      <c r="H974" s="20" t="s">
        <v>48</v>
      </c>
      <c r="I974" s="20" t="s">
        <v>48</v>
      </c>
      <c r="J974" s="20" t="s">
        <v>48</v>
      </c>
      <c r="K974" s="20" t="s">
        <v>48</v>
      </c>
      <c r="L974" s="20" t="s">
        <v>48</v>
      </c>
      <c r="M974" s="64" t="s">
        <v>48</v>
      </c>
      <c r="N974" s="64" t="s">
        <v>48</v>
      </c>
      <c r="O974" s="64" t="s">
        <v>48</v>
      </c>
      <c r="P974" s="64" t="s">
        <v>48</v>
      </c>
      <c r="Q974" s="64" t="s">
        <v>48</v>
      </c>
    </row>
    <row r="975" spans="1:17" ht="38.25" customHeight="1" x14ac:dyDescent="0.25">
      <c r="A975" s="9">
        <v>4</v>
      </c>
      <c r="B975" s="13" t="s">
        <v>43</v>
      </c>
      <c r="C975" s="20" t="s">
        <v>48</v>
      </c>
      <c r="D975" s="21" t="s">
        <v>48</v>
      </c>
      <c r="E975" s="21" t="s">
        <v>48</v>
      </c>
      <c r="F975" s="74" t="s">
        <v>48</v>
      </c>
      <c r="G975" s="20" t="s">
        <v>48</v>
      </c>
      <c r="H975" s="20" t="s">
        <v>48</v>
      </c>
      <c r="I975" s="20" t="s">
        <v>48</v>
      </c>
      <c r="J975" s="20" t="s">
        <v>48</v>
      </c>
      <c r="K975" s="20" t="s">
        <v>48</v>
      </c>
      <c r="L975" s="20" t="s">
        <v>48</v>
      </c>
      <c r="M975" s="64" t="s">
        <v>48</v>
      </c>
      <c r="N975" s="64" t="s">
        <v>48</v>
      </c>
      <c r="O975" s="64" t="s">
        <v>48</v>
      </c>
      <c r="P975" s="64" t="s">
        <v>48</v>
      </c>
      <c r="Q975" s="64" t="s">
        <v>48</v>
      </c>
    </row>
    <row r="976" spans="1:17" ht="165" customHeight="1" x14ac:dyDescent="0.25">
      <c r="A976" s="402">
        <v>5</v>
      </c>
      <c r="B976" s="68" t="s">
        <v>1746</v>
      </c>
      <c r="C976" s="20" t="s">
        <v>1743</v>
      </c>
      <c r="D976" s="21" t="s">
        <v>1744</v>
      </c>
      <c r="E976" s="21"/>
      <c r="F976" s="75">
        <v>714640</v>
      </c>
      <c r="G976" s="20">
        <v>3882</v>
      </c>
      <c r="H976" s="23">
        <v>43545</v>
      </c>
      <c r="I976" s="22">
        <v>226333.33</v>
      </c>
      <c r="J976" s="22">
        <v>271600</v>
      </c>
      <c r="K976" s="22"/>
      <c r="L976" s="22"/>
      <c r="M976" s="24"/>
      <c r="N976" s="24"/>
      <c r="O976" s="24"/>
      <c r="P976" s="24">
        <f>I976</f>
        <v>226333.33</v>
      </c>
      <c r="Q976" s="24">
        <f>J976</f>
        <v>271600</v>
      </c>
    </row>
    <row r="977" spans="1:17" ht="210.75" customHeight="1" x14ac:dyDescent="0.25">
      <c r="A977" s="418"/>
      <c r="B977" s="13" t="s">
        <v>1747</v>
      </c>
      <c r="C977" s="20" t="s">
        <v>1745</v>
      </c>
      <c r="D977" s="21" t="s">
        <v>1744</v>
      </c>
      <c r="E977" s="21"/>
      <c r="F977" s="75">
        <v>2025000</v>
      </c>
      <c r="G977" s="22">
        <v>3468</v>
      </c>
      <c r="H977" s="23">
        <v>43538</v>
      </c>
      <c r="I977" s="24">
        <v>1181250</v>
      </c>
      <c r="J977" s="24">
        <v>1417500</v>
      </c>
      <c r="K977" s="24"/>
      <c r="L977" s="24"/>
      <c r="M977" s="24"/>
      <c r="N977" s="24"/>
      <c r="O977" s="24"/>
      <c r="P977" s="24">
        <f>I977</f>
        <v>1181250</v>
      </c>
      <c r="Q977" s="24">
        <f>J977</f>
        <v>1417500</v>
      </c>
    </row>
    <row r="978" spans="1:17" ht="129" customHeight="1" x14ac:dyDescent="0.25">
      <c r="A978" s="418"/>
      <c r="B978" s="13" t="s">
        <v>2129</v>
      </c>
      <c r="C978" s="20" t="s">
        <v>1741</v>
      </c>
      <c r="D978" s="21" t="s">
        <v>1742</v>
      </c>
      <c r="E978" s="21"/>
      <c r="F978" s="75">
        <v>3468000</v>
      </c>
      <c r="G978" s="22"/>
      <c r="H978" s="23"/>
      <c r="I978" s="24"/>
      <c r="J978" s="24"/>
      <c r="K978" s="24"/>
      <c r="L978" s="24"/>
      <c r="M978" s="24"/>
      <c r="N978" s="24"/>
      <c r="O978" s="24"/>
      <c r="P978" s="24"/>
      <c r="Q978" s="24"/>
    </row>
    <row r="979" spans="1:17" ht="116.25" customHeight="1" x14ac:dyDescent="0.25">
      <c r="A979" s="418"/>
      <c r="B979" s="13" t="s">
        <v>1748</v>
      </c>
      <c r="C979" s="20" t="s">
        <v>1749</v>
      </c>
      <c r="D979" s="21" t="s">
        <v>1742</v>
      </c>
      <c r="E979" s="21"/>
      <c r="F979" s="75">
        <v>12903000</v>
      </c>
      <c r="G979" s="22"/>
      <c r="H979" s="23"/>
      <c r="I979" s="24"/>
      <c r="J979" s="24"/>
      <c r="K979" s="24"/>
      <c r="L979" s="24"/>
      <c r="M979" s="24"/>
      <c r="N979" s="24"/>
      <c r="O979" s="24"/>
      <c r="P979" s="24"/>
      <c r="Q979" s="24"/>
    </row>
    <row r="980" spans="1:17" ht="129" customHeight="1" x14ac:dyDescent="0.25">
      <c r="A980" s="418"/>
      <c r="B980" s="13" t="s">
        <v>2130</v>
      </c>
      <c r="C980" s="20" t="s">
        <v>1750</v>
      </c>
      <c r="D980" s="21" t="s">
        <v>1751</v>
      </c>
      <c r="E980" s="21"/>
      <c r="F980" s="75">
        <v>303000</v>
      </c>
      <c r="G980" s="22"/>
      <c r="H980" s="23"/>
      <c r="I980" s="24"/>
      <c r="J980" s="24"/>
      <c r="K980" s="24"/>
      <c r="L980" s="24"/>
      <c r="M980" s="24"/>
      <c r="N980" s="24"/>
      <c r="O980" s="24"/>
      <c r="P980" s="24"/>
      <c r="Q980" s="24"/>
    </row>
    <row r="981" spans="1:17" ht="129" customHeight="1" x14ac:dyDescent="0.25">
      <c r="A981" s="403"/>
      <c r="B981" s="13" t="s">
        <v>1752</v>
      </c>
      <c r="C981" s="20" t="s">
        <v>1753</v>
      </c>
      <c r="D981" s="21" t="s">
        <v>1754</v>
      </c>
      <c r="E981" s="21"/>
      <c r="F981" s="75">
        <v>912300</v>
      </c>
      <c r="G981" s="22"/>
      <c r="H981" s="23"/>
      <c r="I981" s="24"/>
      <c r="J981" s="24"/>
      <c r="K981" s="24"/>
      <c r="L981" s="24"/>
      <c r="M981" s="24"/>
      <c r="N981" s="24"/>
      <c r="O981" s="24"/>
      <c r="P981" s="24"/>
      <c r="Q981" s="24"/>
    </row>
    <row r="982" spans="1:17" ht="49.5" customHeight="1" x14ac:dyDescent="0.25">
      <c r="A982" s="9">
        <v>6</v>
      </c>
      <c r="B982" s="13" t="s">
        <v>33</v>
      </c>
      <c r="C982" s="20" t="s">
        <v>48</v>
      </c>
      <c r="D982" s="21" t="s">
        <v>48</v>
      </c>
      <c r="E982" s="21" t="s">
        <v>48</v>
      </c>
      <c r="F982" s="74" t="s">
        <v>48</v>
      </c>
      <c r="G982" s="20" t="s">
        <v>48</v>
      </c>
      <c r="H982" s="20" t="s">
        <v>48</v>
      </c>
      <c r="I982" s="20" t="s">
        <v>48</v>
      </c>
      <c r="J982" s="20" t="s">
        <v>48</v>
      </c>
      <c r="K982" s="20" t="s">
        <v>48</v>
      </c>
      <c r="L982" s="20" t="s">
        <v>48</v>
      </c>
      <c r="M982" s="64" t="s">
        <v>48</v>
      </c>
      <c r="N982" s="64" t="s">
        <v>48</v>
      </c>
      <c r="O982" s="64" t="s">
        <v>48</v>
      </c>
      <c r="P982" s="64" t="s">
        <v>48</v>
      </c>
      <c r="Q982" s="64" t="s">
        <v>48</v>
      </c>
    </row>
    <row r="983" spans="1:17" ht="42.75" customHeight="1" x14ac:dyDescent="0.25">
      <c r="A983" s="9">
        <v>7</v>
      </c>
      <c r="B983" s="13" t="s">
        <v>34</v>
      </c>
      <c r="C983" s="20" t="s">
        <v>48</v>
      </c>
      <c r="D983" s="21" t="s">
        <v>48</v>
      </c>
      <c r="E983" s="21" t="s">
        <v>48</v>
      </c>
      <c r="F983" s="74" t="s">
        <v>48</v>
      </c>
      <c r="G983" s="20" t="s">
        <v>48</v>
      </c>
      <c r="H983" s="20" t="s">
        <v>48</v>
      </c>
      <c r="I983" s="20" t="s">
        <v>48</v>
      </c>
      <c r="J983" s="20" t="s">
        <v>48</v>
      </c>
      <c r="K983" s="20" t="s">
        <v>48</v>
      </c>
      <c r="L983" s="20" t="s">
        <v>48</v>
      </c>
      <c r="M983" s="64" t="s">
        <v>48</v>
      </c>
      <c r="N983" s="64" t="s">
        <v>48</v>
      </c>
      <c r="O983" s="64" t="s">
        <v>48</v>
      </c>
      <c r="P983" s="64" t="s">
        <v>48</v>
      </c>
      <c r="Q983" s="64" t="s">
        <v>48</v>
      </c>
    </row>
    <row r="984" spans="1:17" ht="33" customHeight="1" x14ac:dyDescent="0.25">
      <c r="A984" s="9">
        <v>8</v>
      </c>
      <c r="B984" s="13" t="s">
        <v>44</v>
      </c>
      <c r="C984" s="20" t="s">
        <v>48</v>
      </c>
      <c r="D984" s="21" t="s">
        <v>48</v>
      </c>
      <c r="E984" s="21" t="s">
        <v>48</v>
      </c>
      <c r="F984" s="74" t="s">
        <v>48</v>
      </c>
      <c r="G984" s="20" t="s">
        <v>48</v>
      </c>
      <c r="H984" s="20" t="s">
        <v>48</v>
      </c>
      <c r="I984" s="20" t="s">
        <v>48</v>
      </c>
      <c r="J984" s="20" t="s">
        <v>48</v>
      </c>
      <c r="K984" s="20" t="s">
        <v>48</v>
      </c>
      <c r="L984" s="20" t="s">
        <v>48</v>
      </c>
      <c r="M984" s="64" t="s">
        <v>48</v>
      </c>
      <c r="N984" s="64" t="s">
        <v>48</v>
      </c>
      <c r="O984" s="64" t="s">
        <v>48</v>
      </c>
      <c r="P984" s="64" t="s">
        <v>48</v>
      </c>
      <c r="Q984" s="64" t="s">
        <v>48</v>
      </c>
    </row>
    <row r="985" spans="1:17" x14ac:dyDescent="0.25">
      <c r="A985" s="9"/>
      <c r="B985" s="11" t="s">
        <v>1</v>
      </c>
      <c r="C985" s="25"/>
      <c r="D985" s="26"/>
      <c r="E985" s="26"/>
      <c r="F985" s="76">
        <f>SUM(F972:F984)</f>
        <v>20325940</v>
      </c>
      <c r="G985" s="25"/>
      <c r="H985" s="25"/>
      <c r="I985" s="25"/>
      <c r="J985" s="25"/>
      <c r="K985" s="25"/>
      <c r="L985" s="25"/>
      <c r="M985" s="27"/>
      <c r="N985" s="27"/>
      <c r="O985" s="27"/>
      <c r="P985" s="27"/>
      <c r="Q985" s="27"/>
    </row>
    <row r="986" spans="1:17" x14ac:dyDescent="0.25">
      <c r="A986" s="28"/>
      <c r="B986" s="8"/>
      <c r="C986" s="33"/>
      <c r="D986" s="63"/>
      <c r="E986" s="63"/>
      <c r="F986" s="70"/>
      <c r="G986" s="33"/>
      <c r="H986" s="33"/>
      <c r="I986" s="33"/>
      <c r="J986" s="33"/>
      <c r="K986" s="33"/>
      <c r="L986" s="33"/>
    </row>
    <row r="987" spans="1:17" ht="102" customHeight="1" x14ac:dyDescent="0.25">
      <c r="A987" s="387" t="s">
        <v>45</v>
      </c>
      <c r="B987" s="387"/>
      <c r="C987" s="387"/>
      <c r="D987" s="387"/>
      <c r="E987" s="387"/>
      <c r="F987" s="387"/>
      <c r="G987" s="387"/>
      <c r="H987" s="387"/>
      <c r="I987" s="387"/>
      <c r="J987" s="387"/>
      <c r="K987" s="387"/>
      <c r="L987" s="387"/>
      <c r="M987" s="387"/>
      <c r="N987" s="387"/>
      <c r="O987" s="387"/>
      <c r="P987" s="387"/>
      <c r="Q987" s="387"/>
    </row>
    <row r="988" spans="1:17" ht="22.5" customHeight="1" x14ac:dyDescent="0.25">
      <c r="A988" s="387" t="s">
        <v>46</v>
      </c>
      <c r="B988" s="387"/>
      <c r="C988" s="387"/>
      <c r="D988" s="387"/>
      <c r="E988" s="387"/>
      <c r="F988" s="387"/>
      <c r="G988" s="387"/>
      <c r="H988" s="387"/>
      <c r="I988" s="387"/>
      <c r="J988" s="387"/>
      <c r="K988" s="387"/>
      <c r="L988" s="387"/>
    </row>
    <row r="989" spans="1:17" x14ac:dyDescent="0.25">
      <c r="A989" s="14"/>
      <c r="B989" s="14"/>
      <c r="C989" s="65"/>
      <c r="D989" s="65"/>
      <c r="E989" s="65"/>
      <c r="F989" s="77"/>
      <c r="G989" s="65"/>
      <c r="H989" s="65"/>
      <c r="I989" s="65"/>
      <c r="J989" s="65"/>
      <c r="K989" s="65"/>
      <c r="L989" s="65"/>
    </row>
    <row r="990" spans="1:17" x14ac:dyDescent="0.25">
      <c r="A990" s="16" t="s">
        <v>4</v>
      </c>
      <c r="B990" s="15"/>
      <c r="C990" s="63"/>
      <c r="D990" s="63"/>
      <c r="E990" s="63"/>
      <c r="F990" s="78"/>
      <c r="G990" s="63"/>
      <c r="H990" s="63"/>
      <c r="I990" s="63"/>
      <c r="J990" s="63"/>
      <c r="K990" s="63"/>
      <c r="L990" s="63"/>
    </row>
    <row r="991" spans="1:17" x14ac:dyDescent="0.25">
      <c r="A991" s="16"/>
      <c r="B991" s="15"/>
      <c r="C991" s="63"/>
      <c r="D991" s="63"/>
      <c r="E991" s="63"/>
      <c r="F991" s="78"/>
      <c r="G991" s="63"/>
      <c r="H991" s="63"/>
      <c r="I991" s="63"/>
      <c r="J991" s="63"/>
      <c r="K991" s="63"/>
      <c r="L991" s="63"/>
    </row>
    <row r="992" spans="1:17" x14ac:dyDescent="0.25">
      <c r="A992" s="15"/>
      <c r="B992" s="15"/>
      <c r="C992" s="63"/>
      <c r="D992" s="63"/>
      <c r="E992" s="63"/>
      <c r="F992" s="78"/>
      <c r="G992" s="63"/>
      <c r="H992" s="63"/>
      <c r="I992" s="63"/>
      <c r="J992" s="63"/>
      <c r="K992" s="63"/>
      <c r="L992" s="63"/>
    </row>
    <row r="993" spans="1:12" x14ac:dyDescent="0.25">
      <c r="A993" s="16" t="s">
        <v>5</v>
      </c>
      <c r="B993" s="15"/>
      <c r="C993" s="63"/>
      <c r="D993" s="63"/>
      <c r="E993" s="63"/>
      <c r="F993" s="79"/>
      <c r="G993" s="63"/>
      <c r="H993" s="63"/>
      <c r="I993" s="63"/>
      <c r="J993" s="63"/>
      <c r="K993" s="63"/>
      <c r="L993" s="66"/>
    </row>
    <row r="994" spans="1:12" x14ac:dyDescent="0.25">
      <c r="A994" s="16"/>
      <c r="B994" s="15"/>
      <c r="C994" s="63"/>
      <c r="D994" s="63"/>
      <c r="E994" s="63"/>
      <c r="F994" s="78" t="s">
        <v>6</v>
      </c>
      <c r="G994" s="63"/>
      <c r="H994" s="63"/>
      <c r="I994" s="63"/>
      <c r="J994" s="63"/>
      <c r="K994" s="63"/>
      <c r="L994" s="63" t="s">
        <v>7</v>
      </c>
    </row>
    <row r="995" spans="1:12" x14ac:dyDescent="0.25">
      <c r="B995" s="15"/>
      <c r="C995" s="63"/>
      <c r="F995" s="78"/>
      <c r="G995" s="63"/>
      <c r="H995" s="63"/>
      <c r="I995" s="63"/>
      <c r="J995" s="63"/>
      <c r="K995" s="63"/>
      <c r="L995" s="63"/>
    </row>
    <row r="996" spans="1:12" x14ac:dyDescent="0.25">
      <c r="A996" s="16" t="s">
        <v>8</v>
      </c>
      <c r="B996" s="15"/>
      <c r="C996" s="63"/>
      <c r="D996" s="63"/>
      <c r="E996" s="63"/>
      <c r="F996" s="79"/>
      <c r="G996" s="63"/>
      <c r="H996" s="63"/>
      <c r="I996" s="63"/>
      <c r="J996" s="63"/>
      <c r="K996" s="63"/>
      <c r="L996" s="66"/>
    </row>
    <row r="997" spans="1:12" x14ac:dyDescent="0.25">
      <c r="A997" s="16"/>
      <c r="B997" s="15"/>
      <c r="C997" s="63"/>
      <c r="D997" s="63"/>
      <c r="E997" s="63"/>
      <c r="F997" s="78" t="s">
        <v>6</v>
      </c>
      <c r="G997" s="63"/>
      <c r="H997" s="63"/>
      <c r="I997" s="63"/>
      <c r="J997" s="63"/>
      <c r="K997" s="63"/>
      <c r="L997" s="63" t="s">
        <v>7</v>
      </c>
    </row>
    <row r="998" spans="1:12" x14ac:dyDescent="0.25">
      <c r="B998" s="16" t="s">
        <v>9</v>
      </c>
      <c r="C998" s="67"/>
      <c r="D998" s="63"/>
      <c r="E998" s="63"/>
      <c r="F998" s="78"/>
      <c r="G998" s="63"/>
      <c r="H998" s="63"/>
      <c r="I998" s="63"/>
      <c r="J998" s="63"/>
      <c r="K998" s="63"/>
      <c r="L998" s="63"/>
    </row>
    <row r="999" spans="1:12" x14ac:dyDescent="0.25">
      <c r="B999" s="16" t="s">
        <v>10</v>
      </c>
      <c r="C999" s="67"/>
      <c r="D999" s="33"/>
      <c r="E999" s="33"/>
      <c r="F999" s="78"/>
      <c r="G999" s="63"/>
      <c r="H999" s="63"/>
      <c r="I999" s="63"/>
      <c r="J999" s="63"/>
      <c r="K999" s="63"/>
      <c r="L999" s="63"/>
    </row>
  </sheetData>
  <autoFilter ref="A9:Q965"/>
  <mergeCells count="98">
    <mergeCell ref="E345:E346"/>
    <mergeCell ref="E353:E369"/>
    <mergeCell ref="F353:F369"/>
    <mergeCell ref="B342:B343"/>
    <mergeCell ref="C342:C343"/>
    <mergeCell ref="D342:D343"/>
    <mergeCell ref="B345:B346"/>
    <mergeCell ref="C345:C346"/>
    <mergeCell ref="D345:D346"/>
    <mergeCell ref="A976:A981"/>
    <mergeCell ref="Q14:Q15"/>
    <mergeCell ref="P16:P18"/>
    <mergeCell ref="A14:A18"/>
    <mergeCell ref="O14:O15"/>
    <mergeCell ref="O16:O18"/>
    <mergeCell ref="B14:B18"/>
    <mergeCell ref="C472:C474"/>
    <mergeCell ref="D472:D474"/>
    <mergeCell ref="C477:C478"/>
    <mergeCell ref="D477:D478"/>
    <mergeCell ref="D421:D441"/>
    <mergeCell ref="C421:C441"/>
    <mergeCell ref="C443:C449"/>
    <mergeCell ref="D443:D449"/>
    <mergeCell ref="C460:C462"/>
    <mergeCell ref="D460:D462"/>
    <mergeCell ref="D353:D369"/>
    <mergeCell ref="D387:D401"/>
    <mergeCell ref="C387:C401"/>
    <mergeCell ref="D402:D404"/>
    <mergeCell ref="C402:C404"/>
    <mergeCell ref="C353:C369"/>
    <mergeCell ref="D296:D300"/>
    <mergeCell ref="B296:B302"/>
    <mergeCell ref="C296:C300"/>
    <mergeCell ref="B284:B285"/>
    <mergeCell ref="B272:B275"/>
    <mergeCell ref="B276:B280"/>
    <mergeCell ref="B281:B283"/>
    <mergeCell ref="Q16:Q18"/>
    <mergeCell ref="C19:C20"/>
    <mergeCell ref="D19:D20"/>
    <mergeCell ref="C21:C22"/>
    <mergeCell ref="D40:D41"/>
    <mergeCell ref="D21:D22"/>
    <mergeCell ref="C23:C27"/>
    <mergeCell ref="D23:D27"/>
    <mergeCell ref="C28:C30"/>
    <mergeCell ref="D28:D30"/>
    <mergeCell ref="D38:D39"/>
    <mergeCell ref="C40:C41"/>
    <mergeCell ref="F14:F15"/>
    <mergeCell ref="C14:C15"/>
    <mergeCell ref="D14:D15"/>
    <mergeCell ref="N14:N15"/>
    <mergeCell ref="C16:C18"/>
    <mergeCell ref="D16:D18"/>
    <mergeCell ref="F16:F18"/>
    <mergeCell ref="M16:M18"/>
    <mergeCell ref="N16:N18"/>
    <mergeCell ref="A988:L988"/>
    <mergeCell ref="A987:Q987"/>
    <mergeCell ref="A968:Q968"/>
    <mergeCell ref="B246:B253"/>
    <mergeCell ref="D86:D93"/>
    <mergeCell ref="C86:C93"/>
    <mergeCell ref="D146:D148"/>
    <mergeCell ref="C146:C148"/>
    <mergeCell ref="B255:B259"/>
    <mergeCell ref="C218:C219"/>
    <mergeCell ref="D218:D219"/>
    <mergeCell ref="B553:B624"/>
    <mergeCell ref="B260:B262"/>
    <mergeCell ref="B263:B266"/>
    <mergeCell ref="B267:B268"/>
    <mergeCell ref="B270:B271"/>
    <mergeCell ref="B19:B41"/>
    <mergeCell ref="C119:C122"/>
    <mergeCell ref="D119:D122"/>
    <mergeCell ref="C125:C127"/>
    <mergeCell ref="D125:D127"/>
    <mergeCell ref="D32:D33"/>
    <mergeCell ref="C34:C35"/>
    <mergeCell ref="D34:D35"/>
    <mergeCell ref="C36:C37"/>
    <mergeCell ref="D36:D37"/>
    <mergeCell ref="C32:C33"/>
    <mergeCell ref="C38:C39"/>
    <mergeCell ref="B117:B118"/>
    <mergeCell ref="B59:B60"/>
    <mergeCell ref="C59:C60"/>
    <mergeCell ref="D59:D60"/>
    <mergeCell ref="A1:Q1"/>
    <mergeCell ref="A7:Q7"/>
    <mergeCell ref="A2:Q2"/>
    <mergeCell ref="A3:Q3"/>
    <mergeCell ref="A4:Q4"/>
    <mergeCell ref="A5:Q5"/>
  </mergeCells>
  <pageMargins left="0.78740157480314965" right="0.19685039370078741" top="0.74803149606299213" bottom="0.74803149606299213" header="0.31496062992125984" footer="0.31496062992125984"/>
  <pageSetup paperSize="9" scale="58" fitToHeight="0" orientation="landscape" r:id="rId1"/>
  <rowBreaks count="1" manualBreakCount="1">
    <brk id="9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2"/>
  <sheetViews>
    <sheetView tabSelected="1" zoomScale="60" zoomScaleNormal="60" workbookViewId="0">
      <selection activeCell="B27" sqref="B27"/>
    </sheetView>
  </sheetViews>
  <sheetFormatPr defaultRowHeight="15.75" x14ac:dyDescent="0.25"/>
  <cols>
    <col min="1" max="1" width="6.7109375" style="207" customWidth="1"/>
    <col min="2" max="2" width="66.7109375" style="271" customWidth="1"/>
    <col min="3" max="3" width="24" style="208" customWidth="1"/>
    <col min="4" max="4" width="16.85546875" style="208" customWidth="1"/>
    <col min="5" max="5" width="16.7109375" style="207" customWidth="1"/>
    <col min="6" max="6" width="19.140625" style="262" customWidth="1"/>
    <col min="7" max="7" width="15.42578125" style="355" customWidth="1"/>
    <col min="8" max="8" width="12.7109375" style="355" customWidth="1"/>
    <col min="9" max="9" width="17.7109375" style="209" customWidth="1"/>
    <col min="10" max="10" width="21" style="209" customWidth="1"/>
    <col min="11" max="11" width="16.28515625" style="208" customWidth="1"/>
    <col min="12" max="12" width="15.7109375" style="208" customWidth="1"/>
    <col min="13" max="13" width="17.85546875" style="209" customWidth="1"/>
    <col min="14" max="14" width="15.85546875" style="209" customWidth="1"/>
    <col min="15" max="15" width="32.7109375" style="355" customWidth="1"/>
    <col min="16" max="16" width="18.140625" style="209" customWidth="1"/>
    <col min="17" max="17" width="17.7109375" style="209" customWidth="1"/>
    <col min="18" max="18" width="23.42578125" customWidth="1"/>
    <col min="19" max="19" width="15.140625" bestFit="1" customWidth="1"/>
    <col min="20" max="20" width="12.5703125" bestFit="1" customWidth="1"/>
  </cols>
  <sheetData>
    <row r="1" spans="1:44" ht="156" customHeight="1" x14ac:dyDescent="0.25">
      <c r="A1" s="452" t="s">
        <v>2936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</row>
    <row r="2" spans="1:44" ht="75" customHeight="1" x14ac:dyDescent="0.25">
      <c r="A2" s="456" t="s">
        <v>2937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</row>
    <row r="3" spans="1:44" ht="15.75" customHeight="1" x14ac:dyDescent="0.25">
      <c r="A3" s="457"/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</row>
    <row r="4" spans="1:44" ht="28.5" customHeight="1" x14ac:dyDescent="0.25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</row>
    <row r="5" spans="1:44" ht="42" customHeight="1" x14ac:dyDescent="0.25">
      <c r="A5" s="458"/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</row>
    <row r="6" spans="1:44" s="370" customFormat="1" ht="24" customHeight="1" x14ac:dyDescent="0.25">
      <c r="A6" s="374"/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6" t="s">
        <v>12</v>
      </c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69"/>
      <c r="AO6" s="369"/>
      <c r="AP6" s="369"/>
      <c r="AQ6" s="369"/>
      <c r="AR6" s="373"/>
    </row>
    <row r="7" spans="1:44" s="370" customFormat="1" ht="39" customHeight="1" x14ac:dyDescent="0.25">
      <c r="A7" s="454" t="s">
        <v>2939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  <c r="AO7" s="369"/>
      <c r="AP7" s="369"/>
      <c r="AQ7" s="369"/>
      <c r="AR7" s="373"/>
    </row>
    <row r="8" spans="1:44" s="151" customFormat="1" ht="82.5" customHeight="1" x14ac:dyDescent="0.25">
      <c r="A8" s="306" t="s">
        <v>14</v>
      </c>
      <c r="B8" s="319" t="s">
        <v>0</v>
      </c>
      <c r="C8" s="314" t="s">
        <v>24</v>
      </c>
      <c r="D8" s="314" t="s">
        <v>25</v>
      </c>
      <c r="E8" s="314" t="s">
        <v>22</v>
      </c>
      <c r="F8" s="358" t="s">
        <v>11</v>
      </c>
      <c r="G8" s="314" t="s">
        <v>26</v>
      </c>
      <c r="H8" s="314" t="s">
        <v>27</v>
      </c>
      <c r="I8" s="314" t="s">
        <v>31</v>
      </c>
      <c r="J8" s="314" t="s">
        <v>39</v>
      </c>
      <c r="K8" s="314" t="s">
        <v>28</v>
      </c>
      <c r="L8" s="314" t="s">
        <v>29</v>
      </c>
      <c r="M8" s="314" t="s">
        <v>41</v>
      </c>
      <c r="N8" s="314" t="s">
        <v>40</v>
      </c>
      <c r="O8" s="314" t="s">
        <v>23</v>
      </c>
      <c r="P8" s="314" t="s">
        <v>30</v>
      </c>
      <c r="Q8" s="371" t="s">
        <v>42</v>
      </c>
    </row>
    <row r="9" spans="1:44" s="151" customFormat="1" ht="15" customHeight="1" x14ac:dyDescent="0.25">
      <c r="A9" s="215">
        <v>1</v>
      </c>
      <c r="B9" s="215">
        <v>2</v>
      </c>
      <c r="C9" s="216">
        <v>3</v>
      </c>
      <c r="D9" s="216">
        <v>4</v>
      </c>
      <c r="E9" s="216">
        <v>5</v>
      </c>
      <c r="F9" s="216">
        <v>6</v>
      </c>
      <c r="G9" s="216">
        <v>7</v>
      </c>
      <c r="H9" s="216">
        <v>8</v>
      </c>
      <c r="I9" s="216">
        <v>9</v>
      </c>
      <c r="J9" s="216">
        <v>10</v>
      </c>
      <c r="K9" s="216">
        <v>11</v>
      </c>
      <c r="L9" s="216">
        <v>12</v>
      </c>
      <c r="M9" s="216">
        <v>13</v>
      </c>
      <c r="N9" s="216">
        <v>14</v>
      </c>
      <c r="O9" s="216">
        <v>15</v>
      </c>
      <c r="P9" s="216">
        <v>16</v>
      </c>
      <c r="Q9" s="378">
        <v>17</v>
      </c>
    </row>
    <row r="10" spans="1:44" s="151" customFormat="1" ht="54" customHeight="1" x14ac:dyDescent="0.25">
      <c r="A10" s="215">
        <v>1</v>
      </c>
      <c r="B10" s="219" t="s">
        <v>16</v>
      </c>
      <c r="C10" s="216"/>
      <c r="D10" s="216"/>
      <c r="E10" s="216"/>
      <c r="F10" s="345"/>
      <c r="G10" s="216"/>
      <c r="H10" s="216"/>
      <c r="I10" s="218"/>
      <c r="J10" s="218"/>
      <c r="K10" s="216"/>
      <c r="L10" s="216"/>
      <c r="M10" s="275"/>
      <c r="N10" s="275"/>
      <c r="O10" s="354"/>
      <c r="P10" s="275"/>
      <c r="Q10" s="372"/>
    </row>
    <row r="11" spans="1:44" s="151" customFormat="1" ht="84" customHeight="1" x14ac:dyDescent="0.25">
      <c r="A11" s="215">
        <v>2</v>
      </c>
      <c r="B11" s="219" t="s">
        <v>2926</v>
      </c>
      <c r="C11" s="216"/>
      <c r="D11" s="216"/>
      <c r="E11" s="216"/>
      <c r="F11" s="345"/>
      <c r="G11" s="216"/>
      <c r="H11" s="216"/>
      <c r="I11" s="218"/>
      <c r="J11" s="218"/>
      <c r="K11" s="216"/>
      <c r="L11" s="216"/>
      <c r="M11" s="275"/>
      <c r="N11" s="275"/>
      <c r="O11" s="354"/>
      <c r="P11" s="275"/>
      <c r="Q11" s="275"/>
    </row>
    <row r="12" spans="1:44" ht="78.75" customHeight="1" x14ac:dyDescent="0.25">
      <c r="A12" s="304">
        <v>3</v>
      </c>
      <c r="B12" s="318" t="s">
        <v>2927</v>
      </c>
      <c r="C12" s="315"/>
      <c r="D12" s="320"/>
      <c r="E12" s="320"/>
      <c r="F12" s="223"/>
      <c r="G12" s="315"/>
      <c r="H12" s="315"/>
      <c r="I12" s="359"/>
      <c r="J12" s="359"/>
      <c r="K12" s="315"/>
      <c r="L12" s="315"/>
      <c r="M12" s="321"/>
      <c r="N12" s="321"/>
      <c r="O12" s="357"/>
      <c r="P12" s="275"/>
      <c r="Q12" s="275"/>
    </row>
    <row r="13" spans="1:44" s="356" customFormat="1" ht="42" customHeight="1" x14ac:dyDescent="0.25">
      <c r="A13" s="304">
        <v>4</v>
      </c>
      <c r="B13" s="318" t="s">
        <v>2923</v>
      </c>
      <c r="C13" s="360"/>
      <c r="D13" s="360"/>
      <c r="E13" s="360"/>
      <c r="F13" s="361"/>
      <c r="G13" s="362"/>
      <c r="H13" s="362"/>
      <c r="I13" s="362"/>
      <c r="J13" s="362"/>
      <c r="K13" s="363"/>
      <c r="L13" s="361"/>
      <c r="M13" s="361"/>
      <c r="N13" s="362"/>
      <c r="O13" s="362"/>
      <c r="P13" s="362"/>
      <c r="Q13" s="361"/>
      <c r="R13"/>
      <c r="S13"/>
      <c r="T13"/>
      <c r="U13"/>
      <c r="V13"/>
      <c r="W13"/>
      <c r="X13"/>
      <c r="Y13"/>
      <c r="Z13"/>
      <c r="AA13"/>
      <c r="AB13"/>
    </row>
    <row r="14" spans="1:44" s="352" customFormat="1" ht="42.75" customHeight="1" x14ac:dyDescent="0.25">
      <c r="A14" s="364">
        <v>5</v>
      </c>
      <c r="B14" s="377" t="s">
        <v>2924</v>
      </c>
      <c r="C14" s="377"/>
      <c r="D14" s="377"/>
      <c r="E14" s="377"/>
      <c r="F14" s="365"/>
      <c r="G14" s="366"/>
      <c r="H14" s="366"/>
      <c r="I14" s="367"/>
      <c r="J14" s="367"/>
      <c r="K14" s="367"/>
      <c r="L14" s="365"/>
      <c r="M14" s="365"/>
      <c r="N14" s="367"/>
      <c r="O14" s="366"/>
      <c r="P14" s="368"/>
      <c r="Q14" s="365"/>
      <c r="R14"/>
      <c r="S14"/>
      <c r="T14"/>
      <c r="U14"/>
      <c r="V14"/>
      <c r="W14"/>
      <c r="X14"/>
      <c r="Y14"/>
      <c r="Z14"/>
      <c r="AA14"/>
      <c r="AB14"/>
    </row>
    <row r="15" spans="1:44" x14ac:dyDescent="0.25">
      <c r="A15" s="215">
        <v>6</v>
      </c>
      <c r="B15" s="219" t="s">
        <v>2941</v>
      </c>
      <c r="C15" s="216"/>
      <c r="D15" s="234"/>
      <c r="E15" s="234"/>
      <c r="F15" s="200">
        <f>SUM(F13:F13)</f>
        <v>0</v>
      </c>
      <c r="G15" s="216"/>
      <c r="H15" s="216"/>
      <c r="I15" s="200">
        <f>SUM(I13:I13)</f>
        <v>0</v>
      </c>
      <c r="J15" s="200">
        <f>SUM(J13:J13)</f>
        <v>0</v>
      </c>
      <c r="K15" s="227"/>
      <c r="L15" s="227"/>
      <c r="M15" s="200">
        <f>SUM(M13:M13)</f>
        <v>0</v>
      </c>
      <c r="N15" s="200">
        <f>SUM(N13:N13)</f>
        <v>0</v>
      </c>
      <c r="O15" s="227"/>
      <c r="P15" s="200">
        <f>SUM(P13:P13)</f>
        <v>0</v>
      </c>
      <c r="Q15" s="200">
        <f>SUM(Q13:Q13)</f>
        <v>0</v>
      </c>
    </row>
    <row r="16" spans="1:44" x14ac:dyDescent="0.25">
      <c r="A16" s="235"/>
      <c r="B16" s="273"/>
      <c r="C16" s="236"/>
      <c r="D16" s="210"/>
      <c r="E16" s="210"/>
      <c r="F16" s="264"/>
      <c r="G16" s="236"/>
      <c r="H16" s="236"/>
      <c r="I16" s="238"/>
      <c r="J16" s="239"/>
      <c r="K16" s="236"/>
      <c r="L16" s="236"/>
      <c r="M16" s="279"/>
    </row>
    <row r="17" spans="1:28" x14ac:dyDescent="0.25">
      <c r="A17" s="235"/>
      <c r="B17" s="273"/>
      <c r="C17" s="236"/>
      <c r="D17" s="210"/>
      <c r="E17" s="210"/>
      <c r="F17" s="264"/>
      <c r="G17" s="236"/>
      <c r="H17" s="236"/>
      <c r="I17" s="238"/>
      <c r="J17" s="238"/>
      <c r="K17" s="236"/>
      <c r="L17" s="210"/>
      <c r="M17" s="280"/>
      <c r="Q17" s="214" t="s">
        <v>13</v>
      </c>
    </row>
    <row r="18" spans="1:28" ht="75" customHeight="1" x14ac:dyDescent="0.25">
      <c r="A18" s="387" t="s">
        <v>2938</v>
      </c>
      <c r="B18" s="387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</row>
    <row r="19" spans="1:28" s="151" customFormat="1" ht="73.5" customHeight="1" x14ac:dyDescent="0.25">
      <c r="A19" s="215" t="s">
        <v>14</v>
      </c>
      <c r="B19" s="219" t="s">
        <v>0</v>
      </c>
      <c r="C19" s="216" t="s">
        <v>24</v>
      </c>
      <c r="D19" s="216" t="s">
        <v>25</v>
      </c>
      <c r="E19" s="216" t="s">
        <v>22</v>
      </c>
      <c r="F19" s="345" t="s">
        <v>11</v>
      </c>
      <c r="G19" s="216" t="s">
        <v>26</v>
      </c>
      <c r="H19" s="216" t="s">
        <v>27</v>
      </c>
      <c r="I19" s="218" t="s">
        <v>31</v>
      </c>
      <c r="J19" s="218" t="s">
        <v>39</v>
      </c>
      <c r="K19" s="216" t="s">
        <v>28</v>
      </c>
      <c r="L19" s="216" t="s">
        <v>29</v>
      </c>
      <c r="M19" s="218" t="s">
        <v>41</v>
      </c>
      <c r="N19" s="218" t="s">
        <v>40</v>
      </c>
      <c r="O19" s="216" t="s">
        <v>23</v>
      </c>
      <c r="P19" s="218" t="s">
        <v>30</v>
      </c>
      <c r="Q19" s="218" t="s">
        <v>42</v>
      </c>
      <c r="R19"/>
      <c r="S19"/>
      <c r="T19"/>
      <c r="U19"/>
      <c r="V19"/>
      <c r="W19"/>
      <c r="X19"/>
      <c r="Y19"/>
      <c r="Z19"/>
      <c r="AA19"/>
      <c r="AB19"/>
    </row>
    <row r="20" spans="1:28" s="151" customFormat="1" x14ac:dyDescent="0.25">
      <c r="A20" s="215">
        <v>1</v>
      </c>
      <c r="B20" s="215">
        <v>2</v>
      </c>
      <c r="C20" s="216">
        <v>3</v>
      </c>
      <c r="D20" s="216">
        <v>4</v>
      </c>
      <c r="E20" s="216">
        <v>5</v>
      </c>
      <c r="F20" s="216">
        <v>6</v>
      </c>
      <c r="G20" s="216">
        <v>7</v>
      </c>
      <c r="H20" s="216">
        <v>8</v>
      </c>
      <c r="I20" s="218">
        <v>9</v>
      </c>
      <c r="J20" s="218">
        <v>10</v>
      </c>
      <c r="K20" s="216">
        <v>11</v>
      </c>
      <c r="L20" s="216">
        <v>12</v>
      </c>
      <c r="M20" s="218">
        <v>13</v>
      </c>
      <c r="N20" s="218">
        <v>14</v>
      </c>
      <c r="O20" s="216">
        <v>15</v>
      </c>
      <c r="P20" s="218">
        <v>16</v>
      </c>
      <c r="Q20" s="218">
        <v>17</v>
      </c>
      <c r="R20"/>
      <c r="S20"/>
      <c r="T20"/>
      <c r="U20"/>
      <c r="V20"/>
      <c r="W20"/>
      <c r="X20"/>
      <c r="Y20"/>
      <c r="Z20"/>
      <c r="AA20"/>
      <c r="AB20"/>
    </row>
    <row r="21" spans="1:28" s="151" customFormat="1" ht="41.25" customHeight="1" x14ac:dyDescent="0.25">
      <c r="A21" s="215">
        <v>1</v>
      </c>
      <c r="B21" s="219" t="s">
        <v>2928</v>
      </c>
      <c r="C21" s="217"/>
      <c r="D21" s="217"/>
      <c r="E21" s="217"/>
      <c r="F21" s="265"/>
      <c r="G21" s="216"/>
      <c r="H21" s="216"/>
      <c r="I21" s="240"/>
      <c r="J21" s="240"/>
      <c r="K21" s="217"/>
      <c r="L21" s="217"/>
      <c r="M21" s="275"/>
      <c r="N21" s="275"/>
      <c r="O21" s="354"/>
      <c r="P21" s="275"/>
      <c r="Q21" s="275"/>
      <c r="R21"/>
      <c r="S21"/>
      <c r="T21"/>
      <c r="U21"/>
      <c r="V21"/>
      <c r="W21"/>
      <c r="X21"/>
      <c r="Y21"/>
      <c r="Z21"/>
      <c r="AA21"/>
      <c r="AB21"/>
    </row>
    <row r="22" spans="1:28" s="151" customFormat="1" ht="46.5" customHeight="1" x14ac:dyDescent="0.25">
      <c r="A22" s="215">
        <v>2</v>
      </c>
      <c r="B22" s="219" t="s">
        <v>2929</v>
      </c>
      <c r="C22" s="217"/>
      <c r="D22" s="217"/>
      <c r="E22" s="217"/>
      <c r="F22" s="265"/>
      <c r="G22" s="216"/>
      <c r="H22" s="216"/>
      <c r="I22" s="240"/>
      <c r="J22" s="240"/>
      <c r="K22" s="217"/>
      <c r="L22" s="217"/>
      <c r="M22" s="275"/>
      <c r="N22" s="275"/>
      <c r="O22" s="354"/>
      <c r="P22" s="275"/>
      <c r="Q22" s="275"/>
      <c r="R22"/>
      <c r="S22"/>
      <c r="T22"/>
      <c r="U22"/>
      <c r="V22"/>
      <c r="W22"/>
      <c r="X22"/>
      <c r="Y22"/>
      <c r="Z22"/>
      <c r="AA22"/>
      <c r="AB22"/>
    </row>
    <row r="23" spans="1:28" s="151" customFormat="1" ht="56.25" customHeight="1" x14ac:dyDescent="0.25">
      <c r="A23" s="215">
        <v>3</v>
      </c>
      <c r="B23" s="219" t="s">
        <v>2930</v>
      </c>
      <c r="C23" s="217"/>
      <c r="D23" s="241"/>
      <c r="E23" s="241"/>
      <c r="F23" s="265"/>
      <c r="G23" s="216"/>
      <c r="H23" s="216"/>
      <c r="I23" s="240"/>
      <c r="J23" s="240"/>
      <c r="K23" s="217"/>
      <c r="L23" s="217"/>
      <c r="M23" s="275"/>
      <c r="N23" s="275"/>
      <c r="O23" s="354"/>
      <c r="P23" s="275"/>
      <c r="Q23" s="275"/>
      <c r="R23"/>
      <c r="S23"/>
      <c r="T23"/>
      <c r="U23"/>
      <c r="V23"/>
      <c r="W23"/>
      <c r="X23"/>
      <c r="Y23"/>
      <c r="Z23"/>
      <c r="AA23"/>
      <c r="AB23"/>
    </row>
    <row r="24" spans="1:28" ht="38.25" customHeight="1" x14ac:dyDescent="0.25">
      <c r="A24" s="215">
        <v>4</v>
      </c>
      <c r="B24" s="351" t="s">
        <v>2931</v>
      </c>
      <c r="C24" s="351"/>
      <c r="D24" s="351"/>
      <c r="E24" s="351"/>
      <c r="F24" s="265"/>
      <c r="G24" s="216"/>
      <c r="H24" s="216"/>
      <c r="I24" s="218"/>
      <c r="J24" s="218"/>
      <c r="K24" s="216"/>
      <c r="L24" s="216"/>
      <c r="M24" s="353"/>
      <c r="N24" s="353"/>
      <c r="O24" s="354"/>
      <c r="P24" s="353"/>
      <c r="Q24" s="353"/>
    </row>
    <row r="25" spans="1:28" ht="79.5" customHeight="1" x14ac:dyDescent="0.25">
      <c r="A25" s="384" t="s">
        <v>2925</v>
      </c>
      <c r="B25" s="379" t="s">
        <v>2932</v>
      </c>
      <c r="C25" s="217"/>
      <c r="D25" s="241"/>
      <c r="E25" s="241"/>
      <c r="F25" s="265"/>
      <c r="G25" s="216"/>
      <c r="H25" s="216"/>
      <c r="I25" s="240"/>
      <c r="J25" s="240"/>
      <c r="K25" s="217"/>
      <c r="L25" s="217"/>
      <c r="M25" s="275"/>
      <c r="N25" s="275"/>
      <c r="O25" s="354"/>
      <c r="P25" s="275"/>
      <c r="Q25" s="275"/>
    </row>
    <row r="26" spans="1:28" ht="99" customHeight="1" x14ac:dyDescent="0.25">
      <c r="A26" s="215">
        <v>6</v>
      </c>
      <c r="B26" s="219" t="s">
        <v>2933</v>
      </c>
      <c r="C26" s="217"/>
      <c r="D26" s="241"/>
      <c r="E26" s="241"/>
      <c r="F26" s="265"/>
      <c r="G26" s="216"/>
      <c r="H26" s="216"/>
      <c r="I26" s="240"/>
      <c r="J26" s="240"/>
      <c r="K26" s="217"/>
      <c r="L26" s="217"/>
      <c r="M26" s="275"/>
      <c r="N26" s="275"/>
      <c r="O26" s="354"/>
      <c r="P26" s="275"/>
      <c r="Q26" s="275"/>
    </row>
    <row r="27" spans="1:28" ht="105" customHeight="1" x14ac:dyDescent="0.25">
      <c r="A27" s="215">
        <v>7</v>
      </c>
      <c r="B27" s="219" t="s">
        <v>2934</v>
      </c>
      <c r="C27" s="217"/>
      <c r="D27" s="241"/>
      <c r="E27" s="241"/>
      <c r="F27" s="265"/>
      <c r="G27" s="216"/>
      <c r="H27" s="216"/>
      <c r="I27" s="240"/>
      <c r="J27" s="240"/>
      <c r="K27" s="217"/>
      <c r="L27" s="217"/>
      <c r="M27" s="275"/>
      <c r="N27" s="275"/>
      <c r="O27" s="354"/>
      <c r="P27" s="275"/>
      <c r="Q27" s="275"/>
    </row>
    <row r="28" spans="1:28" s="151" customFormat="1" ht="40.5" customHeight="1" x14ac:dyDescent="0.25">
      <c r="A28" s="380" t="s">
        <v>2940</v>
      </c>
      <c r="B28" s="219" t="s">
        <v>1</v>
      </c>
      <c r="C28" s="217"/>
      <c r="D28" s="241"/>
      <c r="E28" s="241"/>
      <c r="F28" s="381"/>
      <c r="G28" s="227"/>
      <c r="H28" s="222"/>
      <c r="I28" s="232"/>
      <c r="J28" s="232"/>
      <c r="K28" s="382"/>
      <c r="L28" s="382"/>
      <c r="M28" s="383"/>
      <c r="N28" s="383"/>
      <c r="O28" s="244"/>
      <c r="P28" s="383"/>
      <c r="Q28" s="225"/>
      <c r="R28"/>
      <c r="S28"/>
      <c r="T28"/>
      <c r="U28"/>
      <c r="V28"/>
      <c r="W28"/>
      <c r="X28"/>
      <c r="Y28"/>
      <c r="Z28"/>
      <c r="AA28"/>
      <c r="AB28"/>
    </row>
    <row r="29" spans="1:28" x14ac:dyDescent="0.25">
      <c r="A29" s="253"/>
      <c r="B29" s="272"/>
      <c r="C29" s="212"/>
      <c r="D29" s="210"/>
      <c r="E29" s="210"/>
      <c r="F29" s="263"/>
      <c r="G29" s="210"/>
      <c r="H29" s="210"/>
      <c r="I29" s="214"/>
      <c r="J29" s="214"/>
      <c r="K29" s="212"/>
      <c r="L29" s="212"/>
    </row>
    <row r="30" spans="1:28" ht="102" customHeight="1" x14ac:dyDescent="0.25">
      <c r="A30" s="387" t="s">
        <v>2935</v>
      </c>
      <c r="B30" s="387"/>
      <c r="C30" s="387"/>
      <c r="D30" s="387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7"/>
      <c r="Q30" s="387"/>
    </row>
    <row r="31" spans="1:28" ht="73.5" customHeight="1" x14ac:dyDescent="0.25">
      <c r="A31" s="459" t="s">
        <v>46</v>
      </c>
      <c r="B31" s="459"/>
      <c r="C31" s="459"/>
      <c r="D31" s="459"/>
      <c r="E31" s="459"/>
      <c r="F31" s="459"/>
      <c r="G31" s="459"/>
      <c r="H31" s="459"/>
      <c r="I31" s="459"/>
      <c r="J31" s="459"/>
      <c r="K31" s="459"/>
      <c r="L31" s="459"/>
      <c r="P31" s="280"/>
    </row>
    <row r="32" spans="1:28" x14ac:dyDescent="0.25">
      <c r="A32" s="344"/>
      <c r="B32" s="344"/>
      <c r="C32" s="254"/>
      <c r="D32" s="254"/>
      <c r="E32" s="255"/>
      <c r="F32" s="268"/>
      <c r="G32" s="254"/>
      <c r="H32" s="254"/>
      <c r="I32" s="257"/>
      <c r="J32" s="257"/>
      <c r="K32" s="254"/>
      <c r="L32" s="254"/>
    </row>
    <row r="33" spans="1:12" x14ac:dyDescent="0.25">
      <c r="A33" s="258" t="s">
        <v>4</v>
      </c>
      <c r="B33" s="258"/>
      <c r="C33" s="210"/>
      <c r="D33" s="210"/>
      <c r="E33" s="210"/>
      <c r="F33" s="269"/>
      <c r="G33" s="210"/>
      <c r="H33" s="210"/>
      <c r="I33" s="260"/>
      <c r="J33" s="260"/>
      <c r="K33" s="210"/>
      <c r="L33" s="210"/>
    </row>
    <row r="34" spans="1:12" x14ac:dyDescent="0.25">
      <c r="A34" s="258"/>
      <c r="B34" s="258"/>
      <c r="C34" s="210"/>
      <c r="D34" s="210"/>
      <c r="E34" s="210"/>
      <c r="F34" s="269"/>
      <c r="G34" s="210"/>
      <c r="H34" s="210"/>
      <c r="I34" s="260"/>
      <c r="J34" s="260"/>
      <c r="K34" s="210"/>
      <c r="L34" s="210"/>
    </row>
    <row r="35" spans="1:12" x14ac:dyDescent="0.25">
      <c r="A35" s="259"/>
      <c r="B35" s="258"/>
      <c r="C35" s="210"/>
      <c r="D35" s="210"/>
      <c r="E35" s="210"/>
      <c r="F35" s="269"/>
      <c r="G35" s="210"/>
      <c r="H35" s="210"/>
      <c r="I35" s="260"/>
      <c r="J35" s="260"/>
      <c r="K35" s="210"/>
      <c r="L35" s="210"/>
    </row>
    <row r="36" spans="1:12" x14ac:dyDescent="0.25">
      <c r="A36" s="258" t="s">
        <v>5</v>
      </c>
      <c r="B36" s="258"/>
      <c r="C36" s="210"/>
      <c r="D36" s="210"/>
      <c r="E36" s="210"/>
      <c r="F36" s="270"/>
      <c r="G36" s="210"/>
      <c r="H36" s="210"/>
      <c r="I36" s="260"/>
      <c r="J36" s="260"/>
      <c r="K36" s="210"/>
      <c r="L36" s="261"/>
    </row>
    <row r="37" spans="1:12" x14ac:dyDescent="0.25">
      <c r="A37" s="258"/>
      <c r="B37" s="258"/>
      <c r="C37" s="210"/>
      <c r="D37" s="210"/>
      <c r="E37" s="210"/>
      <c r="F37" s="269" t="s">
        <v>6</v>
      </c>
      <c r="G37" s="210"/>
      <c r="H37" s="210"/>
      <c r="I37" s="260"/>
      <c r="J37" s="260"/>
      <c r="K37" s="210"/>
      <c r="L37" s="210" t="s">
        <v>7</v>
      </c>
    </row>
    <row r="38" spans="1:12" x14ac:dyDescent="0.25">
      <c r="B38" s="258"/>
      <c r="C38" s="210"/>
      <c r="F38" s="269"/>
      <c r="G38" s="210"/>
      <c r="H38" s="210"/>
      <c r="I38" s="260"/>
      <c r="J38" s="260"/>
      <c r="K38" s="210"/>
      <c r="L38" s="210"/>
    </row>
    <row r="39" spans="1:12" x14ac:dyDescent="0.25">
      <c r="A39" s="258" t="s">
        <v>8</v>
      </c>
      <c r="B39" s="258"/>
      <c r="C39" s="210"/>
      <c r="D39" s="210"/>
      <c r="E39" s="210"/>
      <c r="F39" s="270"/>
      <c r="G39" s="210"/>
      <c r="H39" s="210"/>
      <c r="I39" s="260"/>
      <c r="J39" s="260"/>
      <c r="K39" s="210"/>
      <c r="L39" s="261"/>
    </row>
    <row r="40" spans="1:12" x14ac:dyDescent="0.25">
      <c r="A40" s="258"/>
      <c r="B40" s="258"/>
      <c r="C40" s="210"/>
      <c r="D40" s="210"/>
      <c r="E40" s="210"/>
      <c r="F40" s="269" t="s">
        <v>6</v>
      </c>
      <c r="G40" s="210"/>
      <c r="H40" s="210"/>
      <c r="I40" s="260"/>
      <c r="J40" s="260"/>
      <c r="K40" s="210"/>
      <c r="L40" s="210" t="s">
        <v>7</v>
      </c>
    </row>
    <row r="41" spans="1:12" x14ac:dyDescent="0.25">
      <c r="B41" s="258" t="s">
        <v>9</v>
      </c>
      <c r="C41" s="210"/>
      <c r="D41" s="210"/>
      <c r="E41" s="210"/>
      <c r="F41" s="269"/>
      <c r="G41" s="210"/>
      <c r="H41" s="210"/>
      <c r="I41" s="260"/>
      <c r="J41" s="260"/>
      <c r="K41" s="210"/>
      <c r="L41" s="210"/>
    </row>
    <row r="42" spans="1:12" x14ac:dyDescent="0.25">
      <c r="B42" s="258" t="s">
        <v>10</v>
      </c>
      <c r="C42" s="210"/>
      <c r="D42" s="212"/>
      <c r="E42" s="213"/>
      <c r="F42" s="269"/>
      <c r="G42" s="210"/>
      <c r="H42" s="210"/>
      <c r="I42" s="260"/>
      <c r="J42" s="260"/>
      <c r="K42" s="210"/>
      <c r="L42" s="210"/>
    </row>
  </sheetData>
  <autoFilter ref="A8:Q15"/>
  <mergeCells count="6">
    <mergeCell ref="A1:Q1"/>
    <mergeCell ref="A7:Q7"/>
    <mergeCell ref="A2:Q5"/>
    <mergeCell ref="A31:L31"/>
    <mergeCell ref="A18:Q18"/>
    <mergeCell ref="A30:Q30"/>
  </mergeCells>
  <pageMargins left="0.17" right="0.19685039370078741" top="0.17" bottom="0.23" header="0.31496062992125984" footer="0.17"/>
  <pageSetup paperSize="9" scale="40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177"/>
  <sheetViews>
    <sheetView zoomScaleNormal="100" workbookViewId="0">
      <selection activeCell="C5" sqref="C5"/>
    </sheetView>
  </sheetViews>
  <sheetFormatPr defaultRowHeight="15" x14ac:dyDescent="0.25"/>
  <cols>
    <col min="1" max="1" width="26" style="141" bestFit="1" customWidth="1"/>
    <col min="2" max="2" width="13.5703125" style="141" bestFit="1" customWidth="1"/>
    <col min="3" max="3" width="14" style="141" bestFit="1" customWidth="1"/>
    <col min="4" max="4" width="14.5703125" style="141" bestFit="1" customWidth="1"/>
    <col min="5" max="6" width="9.140625" style="141"/>
    <col min="7" max="7" width="12.140625" style="141" customWidth="1"/>
    <col min="8" max="8" width="10.85546875" style="141" customWidth="1"/>
    <col min="9" max="9" width="10.85546875" style="141" bestFit="1" customWidth="1"/>
    <col min="10" max="10" width="20.28515625" style="141" customWidth="1"/>
    <col min="11" max="11" width="25.85546875" style="141" customWidth="1"/>
    <col min="12" max="20" width="9.140625" style="141"/>
    <col min="21" max="21" width="10" style="141" bestFit="1" customWidth="1"/>
    <col min="22" max="16384" width="9.140625" style="141"/>
  </cols>
  <sheetData>
    <row r="4" spans="1:12" x14ac:dyDescent="0.25">
      <c r="A4" s="146"/>
      <c r="B4" s="146"/>
      <c r="C4" s="146" t="s">
        <v>2225</v>
      </c>
      <c r="D4" s="146"/>
    </row>
    <row r="5" spans="1:12" x14ac:dyDescent="0.25">
      <c r="A5" s="142" t="s">
        <v>2222</v>
      </c>
      <c r="B5" s="143">
        <v>189008951.23999998</v>
      </c>
      <c r="C5" s="143" t="e">
        <f>'Расчет сс '!#REF!+'Расчет сс '!#REF!+'Расчет сс '!#REF!+'Расчет сс '!#REF!+'Расчет сс '!#REF!</f>
        <v>#REF!</v>
      </c>
      <c r="D5" s="144" t="e">
        <f>B5-C5</f>
        <v>#REF!</v>
      </c>
    </row>
    <row r="6" spans="1:12" ht="30" x14ac:dyDescent="0.25">
      <c r="A6" s="84" t="s">
        <v>2224</v>
      </c>
      <c r="B6" s="145">
        <v>80270446.200000003</v>
      </c>
      <c r="C6" s="147" t="e">
        <f>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</f>
        <v>#REF!</v>
      </c>
      <c r="D6" s="148" t="e">
        <f>B6-C6</f>
        <v>#REF!</v>
      </c>
    </row>
    <row r="7" spans="1:12" ht="45" x14ac:dyDescent="0.25">
      <c r="A7" s="84" t="s">
        <v>2223</v>
      </c>
      <c r="B7" s="145">
        <v>55210446.259999998</v>
      </c>
      <c r="C7" s="147" t="e">
        <f>SUM('Расчет сс '!#REF!)+SUM('Расчет сс '!#REF!)</f>
        <v>#REF!</v>
      </c>
      <c r="D7" s="144" t="e">
        <f>B7-C7</f>
        <v>#REF!</v>
      </c>
    </row>
    <row r="8" spans="1:12" x14ac:dyDescent="0.25">
      <c r="A8" s="146"/>
      <c r="B8" s="146"/>
      <c r="C8" s="146"/>
      <c r="D8" s="146"/>
    </row>
    <row r="9" spans="1:12" x14ac:dyDescent="0.25">
      <c r="A9" s="146"/>
      <c r="B9" s="146"/>
      <c r="C9" s="146"/>
      <c r="D9" s="146"/>
    </row>
    <row r="10" spans="1:12" x14ac:dyDescent="0.25">
      <c r="A10" s="149" t="s">
        <v>2221</v>
      </c>
      <c r="B10" s="150">
        <f>SUM(B5:B9)</f>
        <v>324489843.69999999</v>
      </c>
      <c r="C10" s="150">
        <f>'Расчет сс '!M15</f>
        <v>0</v>
      </c>
      <c r="D10" s="148">
        <f>B10-C10</f>
        <v>324489843.69999999</v>
      </c>
    </row>
    <row r="16" spans="1:12" ht="15.75" thickBot="1" x14ac:dyDescent="0.3">
      <c r="A16" s="170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</row>
    <row r="17" spans="1:22" ht="34.5" thickBot="1" x14ac:dyDescent="0.3">
      <c r="A17" s="152"/>
      <c r="B17" s="171" t="s">
        <v>2285</v>
      </c>
      <c r="C17" s="171" t="s">
        <v>2463</v>
      </c>
      <c r="D17" s="171" t="s">
        <v>2464</v>
      </c>
      <c r="E17" s="462" t="s">
        <v>2465</v>
      </c>
      <c r="F17" s="462"/>
      <c r="G17" s="462" t="s">
        <v>2466</v>
      </c>
      <c r="H17" s="462"/>
      <c r="I17" s="171" t="s">
        <v>2467</v>
      </c>
      <c r="J17" s="172" t="s">
        <v>2468</v>
      </c>
      <c r="K17" s="172" t="s">
        <v>2469</v>
      </c>
      <c r="L17" s="172" t="s">
        <v>2470</v>
      </c>
      <c r="O17" s="460" t="s">
        <v>2540</v>
      </c>
      <c r="P17" s="173" t="s">
        <v>2541</v>
      </c>
      <c r="Q17" s="461" t="s">
        <v>2474</v>
      </c>
      <c r="R17" s="461"/>
      <c r="S17" s="461" t="s">
        <v>2542</v>
      </c>
      <c r="T17" s="461"/>
      <c r="U17" s="174">
        <v>11155.35</v>
      </c>
      <c r="V17" s="175" t="s">
        <v>2476</v>
      </c>
    </row>
    <row r="18" spans="1:22" ht="15.75" customHeight="1" thickBot="1" x14ac:dyDescent="0.3">
      <c r="A18" s="152"/>
      <c r="B18" s="460" t="s">
        <v>2471</v>
      </c>
      <c r="C18" s="460" t="s">
        <v>2472</v>
      </c>
      <c r="D18" s="173" t="s">
        <v>2473</v>
      </c>
      <c r="E18" s="461" t="s">
        <v>2474</v>
      </c>
      <c r="F18" s="461"/>
      <c r="G18" s="461" t="s">
        <v>2475</v>
      </c>
      <c r="H18" s="461"/>
      <c r="I18" s="174">
        <v>2223786</v>
      </c>
      <c r="J18" s="175" t="s">
        <v>2476</v>
      </c>
      <c r="K18" s="175" t="s">
        <v>2477</v>
      </c>
      <c r="L18" s="176" t="s">
        <v>2478</v>
      </c>
      <c r="O18" s="460"/>
      <c r="P18" s="183" t="s">
        <v>2479</v>
      </c>
      <c r="Q18" s="184"/>
      <c r="R18" s="185" t="s">
        <v>2506</v>
      </c>
      <c r="S18" s="184"/>
      <c r="T18" s="185"/>
      <c r="U18" s="187"/>
      <c r="V18" s="188" t="s">
        <v>2480</v>
      </c>
    </row>
    <row r="19" spans="1:22" ht="33.75" x14ac:dyDescent="0.25">
      <c r="A19" s="152"/>
      <c r="B19" s="460"/>
      <c r="C19" s="460"/>
      <c r="D19" s="177" t="s">
        <v>2479</v>
      </c>
      <c r="E19" s="178"/>
      <c r="F19" s="179">
        <v>2</v>
      </c>
      <c r="G19" s="178"/>
      <c r="H19" s="180"/>
      <c r="I19" s="181"/>
      <c r="J19" s="182" t="s">
        <v>2480</v>
      </c>
      <c r="K19" s="182" t="s">
        <v>2481</v>
      </c>
      <c r="L19" s="181"/>
      <c r="O19" s="460" t="s">
        <v>2540</v>
      </c>
      <c r="P19" s="173" t="s">
        <v>2543</v>
      </c>
      <c r="Q19" s="461" t="s">
        <v>2474</v>
      </c>
      <c r="R19" s="461"/>
      <c r="S19" s="461" t="s">
        <v>2542</v>
      </c>
      <c r="T19" s="461"/>
      <c r="U19" s="174">
        <v>2142.86</v>
      </c>
      <c r="V19" s="175" t="s">
        <v>2476</v>
      </c>
    </row>
    <row r="20" spans="1:22" ht="23.25" thickBot="1" x14ac:dyDescent="0.3">
      <c r="A20" s="152"/>
      <c r="B20" s="460"/>
      <c r="C20" s="460"/>
      <c r="D20" s="183" t="s">
        <v>2482</v>
      </c>
      <c r="E20" s="184"/>
      <c r="F20" s="185"/>
      <c r="G20" s="184" t="s">
        <v>2483</v>
      </c>
      <c r="H20" s="186">
        <v>30000</v>
      </c>
      <c r="I20" s="187"/>
      <c r="J20" s="188"/>
      <c r="K20" s="188"/>
      <c r="L20" s="187"/>
      <c r="O20" s="460"/>
      <c r="P20" s="183" t="s">
        <v>2479</v>
      </c>
      <c r="Q20" s="184"/>
      <c r="R20" s="185" t="s">
        <v>2506</v>
      </c>
      <c r="S20" s="184"/>
      <c r="T20" s="185"/>
      <c r="U20" s="187"/>
      <c r="V20" s="188" t="s">
        <v>2480</v>
      </c>
    </row>
    <row r="21" spans="1:22" ht="90" x14ac:dyDescent="0.25">
      <c r="A21" s="152"/>
      <c r="B21" s="460" t="s">
        <v>2471</v>
      </c>
      <c r="C21" s="460" t="s">
        <v>2472</v>
      </c>
      <c r="D21" s="173" t="s">
        <v>2473</v>
      </c>
      <c r="E21" s="461" t="s">
        <v>2474</v>
      </c>
      <c r="F21" s="461"/>
      <c r="G21" s="461" t="s">
        <v>2475</v>
      </c>
      <c r="H21" s="461"/>
      <c r="I21" s="174">
        <v>2161519.9900000002</v>
      </c>
      <c r="J21" s="175" t="s">
        <v>2484</v>
      </c>
      <c r="K21" s="175" t="s">
        <v>2477</v>
      </c>
      <c r="L21" s="176" t="s">
        <v>2478</v>
      </c>
      <c r="O21" s="460" t="s">
        <v>2540</v>
      </c>
      <c r="P21" s="173" t="s">
        <v>2541</v>
      </c>
      <c r="Q21" s="461" t="s">
        <v>2474</v>
      </c>
      <c r="R21" s="461"/>
      <c r="S21" s="461" t="s">
        <v>2542</v>
      </c>
      <c r="T21" s="461"/>
      <c r="U21" s="174">
        <v>10843</v>
      </c>
      <c r="V21" s="175" t="s">
        <v>2484</v>
      </c>
    </row>
    <row r="22" spans="1:22" ht="34.5" thickBot="1" x14ac:dyDescent="0.3">
      <c r="A22" s="152"/>
      <c r="B22" s="460"/>
      <c r="C22" s="460"/>
      <c r="D22" s="177" t="s">
        <v>2479</v>
      </c>
      <c r="E22" s="178"/>
      <c r="F22" s="179">
        <v>2</v>
      </c>
      <c r="G22" s="178"/>
      <c r="H22" s="180"/>
      <c r="I22" s="181"/>
      <c r="J22" s="182" t="s">
        <v>2480</v>
      </c>
      <c r="K22" s="182" t="s">
        <v>2481</v>
      </c>
      <c r="L22" s="181"/>
      <c r="O22" s="460"/>
      <c r="P22" s="183" t="s">
        <v>2479</v>
      </c>
      <c r="Q22" s="184"/>
      <c r="R22" s="185" t="s">
        <v>2506</v>
      </c>
      <c r="S22" s="184"/>
      <c r="T22" s="185"/>
      <c r="U22" s="187"/>
      <c r="V22" s="188" t="s">
        <v>2480</v>
      </c>
    </row>
    <row r="23" spans="1:22" ht="90.75" thickBot="1" x14ac:dyDescent="0.3">
      <c r="A23" s="152"/>
      <c r="B23" s="460"/>
      <c r="C23" s="460"/>
      <c r="D23" s="183" t="s">
        <v>2482</v>
      </c>
      <c r="E23" s="184"/>
      <c r="F23" s="185"/>
      <c r="G23" s="184" t="s">
        <v>2483</v>
      </c>
      <c r="H23" s="186">
        <v>29160</v>
      </c>
      <c r="I23" s="187"/>
      <c r="J23" s="188"/>
      <c r="K23" s="188"/>
      <c r="L23" s="187"/>
      <c r="O23" s="460" t="s">
        <v>2540</v>
      </c>
      <c r="P23" s="173" t="s">
        <v>2543</v>
      </c>
      <c r="Q23" s="461" t="s">
        <v>2474</v>
      </c>
      <c r="R23" s="461"/>
      <c r="S23" s="461" t="s">
        <v>2542</v>
      </c>
      <c r="T23" s="461"/>
      <c r="U23" s="174">
        <v>2082.86</v>
      </c>
      <c r="V23" s="175" t="s">
        <v>2484</v>
      </c>
    </row>
    <row r="24" spans="1:22" ht="45.75" thickBot="1" x14ac:dyDescent="0.3">
      <c r="A24" s="152"/>
      <c r="B24" s="460" t="s">
        <v>2471</v>
      </c>
      <c r="C24" s="460" t="s">
        <v>2472</v>
      </c>
      <c r="D24" s="173" t="s">
        <v>2473</v>
      </c>
      <c r="E24" s="461" t="s">
        <v>2474</v>
      </c>
      <c r="F24" s="461"/>
      <c r="G24" s="461" t="s">
        <v>2475</v>
      </c>
      <c r="H24" s="461"/>
      <c r="I24" s="174">
        <v>489232.92</v>
      </c>
      <c r="J24" s="175" t="s">
        <v>2485</v>
      </c>
      <c r="K24" s="175" t="s">
        <v>2477</v>
      </c>
      <c r="L24" s="176" t="s">
        <v>2478</v>
      </c>
      <c r="O24" s="460"/>
      <c r="P24" s="183" t="s">
        <v>2479</v>
      </c>
      <c r="Q24" s="184"/>
      <c r="R24" s="185" t="s">
        <v>2506</v>
      </c>
      <c r="S24" s="184"/>
      <c r="T24" s="185"/>
      <c r="U24" s="187"/>
      <c r="V24" s="188" t="s">
        <v>2480</v>
      </c>
    </row>
    <row r="25" spans="1:22" ht="33.75" x14ac:dyDescent="0.25">
      <c r="A25" s="152"/>
      <c r="B25" s="460"/>
      <c r="C25" s="460"/>
      <c r="D25" s="177" t="s">
        <v>2479</v>
      </c>
      <c r="E25" s="178"/>
      <c r="F25" s="179">
        <v>1</v>
      </c>
      <c r="G25" s="178"/>
      <c r="H25" s="180"/>
      <c r="I25" s="181"/>
      <c r="J25" s="182" t="s">
        <v>2480</v>
      </c>
      <c r="K25" s="182" t="s">
        <v>2481</v>
      </c>
      <c r="L25" s="181"/>
      <c r="O25" s="460" t="s">
        <v>2540</v>
      </c>
      <c r="P25" s="173" t="s">
        <v>2541</v>
      </c>
      <c r="Q25" s="461" t="s">
        <v>2474</v>
      </c>
      <c r="R25" s="461"/>
      <c r="S25" s="461" t="s">
        <v>2542</v>
      </c>
      <c r="T25" s="461"/>
      <c r="U25" s="174">
        <v>2454.1799999999998</v>
      </c>
      <c r="V25" s="175" t="s">
        <v>2485</v>
      </c>
    </row>
    <row r="26" spans="1:22" ht="23.25" thickBot="1" x14ac:dyDescent="0.3">
      <c r="A26" s="152"/>
      <c r="B26" s="460"/>
      <c r="C26" s="460"/>
      <c r="D26" s="183" t="s">
        <v>2482</v>
      </c>
      <c r="E26" s="184"/>
      <c r="F26" s="185"/>
      <c r="G26" s="184" t="s">
        <v>2483</v>
      </c>
      <c r="H26" s="186">
        <v>6600</v>
      </c>
      <c r="I26" s="187"/>
      <c r="J26" s="188"/>
      <c r="K26" s="188"/>
      <c r="L26" s="187"/>
      <c r="O26" s="460"/>
      <c r="P26" s="183" t="s">
        <v>2479</v>
      </c>
      <c r="Q26" s="184"/>
      <c r="R26" s="185" t="s">
        <v>2506</v>
      </c>
      <c r="S26" s="184"/>
      <c r="T26" s="185"/>
      <c r="U26" s="187"/>
      <c r="V26" s="188" t="s">
        <v>2480</v>
      </c>
    </row>
    <row r="27" spans="1:22" ht="45" x14ac:dyDescent="0.25">
      <c r="A27" s="152"/>
      <c r="B27" s="460" t="s">
        <v>2471</v>
      </c>
      <c r="C27" s="460" t="s">
        <v>2472</v>
      </c>
      <c r="D27" s="173" t="s">
        <v>2473</v>
      </c>
      <c r="E27" s="461" t="s">
        <v>2474</v>
      </c>
      <c r="F27" s="461"/>
      <c r="G27" s="461" t="s">
        <v>2475</v>
      </c>
      <c r="H27" s="461"/>
      <c r="I27" s="174">
        <v>778325.1</v>
      </c>
      <c r="J27" s="175" t="s">
        <v>2486</v>
      </c>
      <c r="K27" s="175" t="s">
        <v>2477</v>
      </c>
      <c r="L27" s="176" t="s">
        <v>2478</v>
      </c>
      <c r="O27" s="460" t="s">
        <v>2540</v>
      </c>
      <c r="P27" s="173" t="s">
        <v>2543</v>
      </c>
      <c r="Q27" s="461" t="s">
        <v>2474</v>
      </c>
      <c r="R27" s="461"/>
      <c r="S27" s="461" t="s">
        <v>2542</v>
      </c>
      <c r="T27" s="461"/>
      <c r="U27" s="190">
        <v>471.43</v>
      </c>
      <c r="V27" s="175" t="s">
        <v>2485</v>
      </c>
    </row>
    <row r="28" spans="1:22" ht="34.5" thickBot="1" x14ac:dyDescent="0.3">
      <c r="A28" s="152"/>
      <c r="B28" s="460"/>
      <c r="C28" s="460"/>
      <c r="D28" s="177" t="s">
        <v>2479</v>
      </c>
      <c r="E28" s="178"/>
      <c r="F28" s="179">
        <v>1</v>
      </c>
      <c r="G28" s="178"/>
      <c r="H28" s="180"/>
      <c r="I28" s="181"/>
      <c r="J28" s="182" t="s">
        <v>2480</v>
      </c>
      <c r="K28" s="182" t="s">
        <v>2481</v>
      </c>
      <c r="L28" s="181"/>
      <c r="O28" s="460"/>
      <c r="P28" s="183" t="s">
        <v>2479</v>
      </c>
      <c r="Q28" s="184"/>
      <c r="R28" s="185" t="s">
        <v>2506</v>
      </c>
      <c r="S28" s="184"/>
      <c r="T28" s="185"/>
      <c r="U28" s="187"/>
      <c r="V28" s="188" t="s">
        <v>2480</v>
      </c>
    </row>
    <row r="29" spans="1:22" ht="34.5" thickBot="1" x14ac:dyDescent="0.3">
      <c r="A29" s="152"/>
      <c r="B29" s="460"/>
      <c r="C29" s="460"/>
      <c r="D29" s="183" t="s">
        <v>2482</v>
      </c>
      <c r="E29" s="184"/>
      <c r="F29" s="185"/>
      <c r="G29" s="184" t="s">
        <v>2483</v>
      </c>
      <c r="H29" s="186">
        <v>10500</v>
      </c>
      <c r="I29" s="187"/>
      <c r="J29" s="188"/>
      <c r="K29" s="188"/>
      <c r="L29" s="187"/>
      <c r="O29" s="460" t="s">
        <v>2540</v>
      </c>
      <c r="P29" s="173" t="s">
        <v>2541</v>
      </c>
      <c r="Q29" s="461" t="s">
        <v>2474</v>
      </c>
      <c r="R29" s="461"/>
      <c r="S29" s="461" t="s">
        <v>2542</v>
      </c>
      <c r="T29" s="461"/>
      <c r="U29" s="174">
        <v>3904.37</v>
      </c>
      <c r="V29" s="175" t="s">
        <v>2486</v>
      </c>
    </row>
    <row r="30" spans="1:22" ht="45.75" thickBot="1" x14ac:dyDescent="0.3">
      <c r="A30" s="152"/>
      <c r="B30" s="460" t="s">
        <v>2471</v>
      </c>
      <c r="C30" s="460" t="s">
        <v>2472</v>
      </c>
      <c r="D30" s="173" t="s">
        <v>2473</v>
      </c>
      <c r="E30" s="461" t="s">
        <v>2474</v>
      </c>
      <c r="F30" s="461"/>
      <c r="G30" s="461" t="s">
        <v>2475</v>
      </c>
      <c r="H30" s="461"/>
      <c r="I30" s="174">
        <v>3187426.6</v>
      </c>
      <c r="J30" s="175" t="s">
        <v>2487</v>
      </c>
      <c r="K30" s="175" t="s">
        <v>2477</v>
      </c>
      <c r="L30" s="176" t="s">
        <v>2478</v>
      </c>
      <c r="O30" s="460"/>
      <c r="P30" s="183" t="s">
        <v>2479</v>
      </c>
      <c r="Q30" s="184"/>
      <c r="R30" s="185" t="s">
        <v>2506</v>
      </c>
      <c r="S30" s="184"/>
      <c r="T30" s="185"/>
      <c r="U30" s="187"/>
      <c r="V30" s="188" t="s">
        <v>2480</v>
      </c>
    </row>
    <row r="31" spans="1:22" ht="33.75" x14ac:dyDescent="0.25">
      <c r="A31" s="152"/>
      <c r="B31" s="460"/>
      <c r="C31" s="460"/>
      <c r="D31" s="177" t="s">
        <v>2479</v>
      </c>
      <c r="E31" s="178"/>
      <c r="F31" s="179">
        <v>2</v>
      </c>
      <c r="G31" s="178"/>
      <c r="H31" s="180"/>
      <c r="I31" s="181"/>
      <c r="J31" s="182" t="s">
        <v>2480</v>
      </c>
      <c r="K31" s="182" t="s">
        <v>2481</v>
      </c>
      <c r="L31" s="181"/>
      <c r="O31" s="460" t="s">
        <v>2540</v>
      </c>
      <c r="P31" s="173" t="s">
        <v>2543</v>
      </c>
      <c r="Q31" s="461" t="s">
        <v>2474</v>
      </c>
      <c r="R31" s="461"/>
      <c r="S31" s="461" t="s">
        <v>2542</v>
      </c>
      <c r="T31" s="461"/>
      <c r="U31" s="190">
        <v>750</v>
      </c>
      <c r="V31" s="175" t="s">
        <v>2486</v>
      </c>
    </row>
    <row r="32" spans="1:22" ht="23.25" thickBot="1" x14ac:dyDescent="0.3">
      <c r="A32" s="152"/>
      <c r="B32" s="460"/>
      <c r="C32" s="460"/>
      <c r="D32" s="183" t="s">
        <v>2482</v>
      </c>
      <c r="E32" s="184"/>
      <c r="F32" s="185"/>
      <c r="G32" s="184" t="s">
        <v>2483</v>
      </c>
      <c r="H32" s="186">
        <v>43000</v>
      </c>
      <c r="I32" s="187"/>
      <c r="J32" s="188"/>
      <c r="K32" s="188"/>
      <c r="L32" s="187"/>
      <c r="O32" s="460"/>
      <c r="P32" s="183" t="s">
        <v>2479</v>
      </c>
      <c r="Q32" s="184"/>
      <c r="R32" s="185" t="s">
        <v>2506</v>
      </c>
      <c r="S32" s="184"/>
      <c r="T32" s="185"/>
      <c r="U32" s="187"/>
      <c r="V32" s="188" t="s">
        <v>2480</v>
      </c>
    </row>
    <row r="33" spans="1:22" ht="45" x14ac:dyDescent="0.25">
      <c r="A33" s="152"/>
      <c r="B33" s="460" t="s">
        <v>2471</v>
      </c>
      <c r="C33" s="460" t="s">
        <v>2472</v>
      </c>
      <c r="D33" s="173" t="s">
        <v>2473</v>
      </c>
      <c r="E33" s="461" t="s">
        <v>2474</v>
      </c>
      <c r="F33" s="461"/>
      <c r="G33" s="461" t="s">
        <v>2475</v>
      </c>
      <c r="H33" s="461"/>
      <c r="I33" s="174">
        <v>2149659.7999999998</v>
      </c>
      <c r="J33" s="175" t="s">
        <v>2488</v>
      </c>
      <c r="K33" s="175" t="s">
        <v>2477</v>
      </c>
      <c r="L33" s="176" t="s">
        <v>2478</v>
      </c>
      <c r="O33" s="460" t="s">
        <v>2540</v>
      </c>
      <c r="P33" s="173" t="s">
        <v>2541</v>
      </c>
      <c r="Q33" s="461" t="s">
        <v>2474</v>
      </c>
      <c r="R33" s="461"/>
      <c r="S33" s="461" t="s">
        <v>2542</v>
      </c>
      <c r="T33" s="461"/>
      <c r="U33" s="174">
        <v>15989.33</v>
      </c>
      <c r="V33" s="175" t="s">
        <v>2487</v>
      </c>
    </row>
    <row r="34" spans="1:22" ht="34.5" thickBot="1" x14ac:dyDescent="0.3">
      <c r="A34" s="152"/>
      <c r="B34" s="460"/>
      <c r="C34" s="460"/>
      <c r="D34" s="177" t="s">
        <v>2479</v>
      </c>
      <c r="E34" s="178"/>
      <c r="F34" s="179">
        <v>1</v>
      </c>
      <c r="G34" s="178"/>
      <c r="H34" s="180"/>
      <c r="I34" s="181"/>
      <c r="J34" s="182" t="s">
        <v>2480</v>
      </c>
      <c r="K34" s="182" t="s">
        <v>2481</v>
      </c>
      <c r="L34" s="181"/>
      <c r="O34" s="460"/>
      <c r="P34" s="183" t="s">
        <v>2479</v>
      </c>
      <c r="Q34" s="184"/>
      <c r="R34" s="185" t="s">
        <v>2506</v>
      </c>
      <c r="S34" s="184"/>
      <c r="T34" s="185"/>
      <c r="U34" s="187"/>
      <c r="V34" s="188" t="s">
        <v>2480</v>
      </c>
    </row>
    <row r="35" spans="1:22" ht="23.25" thickBot="1" x14ac:dyDescent="0.3">
      <c r="A35" s="152"/>
      <c r="B35" s="460"/>
      <c r="C35" s="460"/>
      <c r="D35" s="183" t="s">
        <v>2482</v>
      </c>
      <c r="E35" s="184"/>
      <c r="F35" s="185"/>
      <c r="G35" s="184" t="s">
        <v>2483</v>
      </c>
      <c r="H35" s="186">
        <v>29000</v>
      </c>
      <c r="I35" s="187"/>
      <c r="J35" s="188"/>
      <c r="K35" s="188"/>
      <c r="L35" s="187"/>
      <c r="O35" s="460" t="s">
        <v>2540</v>
      </c>
      <c r="P35" s="173" t="s">
        <v>2543</v>
      </c>
      <c r="Q35" s="461" t="s">
        <v>2474</v>
      </c>
      <c r="R35" s="461"/>
      <c r="S35" s="461" t="s">
        <v>2542</v>
      </c>
      <c r="T35" s="461"/>
      <c r="U35" s="174">
        <v>3071.43</v>
      </c>
      <c r="V35" s="175" t="s">
        <v>2487</v>
      </c>
    </row>
    <row r="36" spans="1:22" ht="45.75" thickBot="1" x14ac:dyDescent="0.3">
      <c r="A36" s="152"/>
      <c r="B36" s="460" t="s">
        <v>2471</v>
      </c>
      <c r="C36" s="460" t="s">
        <v>2472</v>
      </c>
      <c r="D36" s="173" t="s">
        <v>2473</v>
      </c>
      <c r="E36" s="461" t="s">
        <v>2474</v>
      </c>
      <c r="F36" s="461"/>
      <c r="G36" s="461" t="s">
        <v>2475</v>
      </c>
      <c r="H36" s="461"/>
      <c r="I36" s="174">
        <v>558911.55000000005</v>
      </c>
      <c r="J36" s="175" t="s">
        <v>2489</v>
      </c>
      <c r="K36" s="175" t="s">
        <v>2477</v>
      </c>
      <c r="L36" s="176" t="s">
        <v>2478</v>
      </c>
      <c r="O36" s="460"/>
      <c r="P36" s="183" t="s">
        <v>2479</v>
      </c>
      <c r="Q36" s="184"/>
      <c r="R36" s="185" t="s">
        <v>2506</v>
      </c>
      <c r="S36" s="184"/>
      <c r="T36" s="185"/>
      <c r="U36" s="187"/>
      <c r="V36" s="188" t="s">
        <v>2480</v>
      </c>
    </row>
    <row r="37" spans="1:22" ht="33.75" x14ac:dyDescent="0.25">
      <c r="A37" s="152"/>
      <c r="B37" s="460"/>
      <c r="C37" s="460"/>
      <c r="D37" s="177" t="s">
        <v>2479</v>
      </c>
      <c r="E37" s="178"/>
      <c r="F37" s="179">
        <v>2</v>
      </c>
      <c r="G37" s="178"/>
      <c r="H37" s="180"/>
      <c r="I37" s="181"/>
      <c r="J37" s="182" t="s">
        <v>2480</v>
      </c>
      <c r="K37" s="182" t="s">
        <v>2481</v>
      </c>
      <c r="L37" s="181"/>
      <c r="O37" s="460" t="s">
        <v>2540</v>
      </c>
      <c r="P37" s="173" t="s">
        <v>2541</v>
      </c>
      <c r="Q37" s="461" t="s">
        <v>2474</v>
      </c>
      <c r="R37" s="461"/>
      <c r="S37" s="461" t="s">
        <v>2542</v>
      </c>
      <c r="T37" s="461"/>
      <c r="U37" s="174">
        <v>10783.5</v>
      </c>
      <c r="V37" s="175" t="s">
        <v>2488</v>
      </c>
    </row>
    <row r="38" spans="1:22" ht="23.25" thickBot="1" x14ac:dyDescent="0.3">
      <c r="A38" s="152"/>
      <c r="B38" s="460"/>
      <c r="C38" s="460"/>
      <c r="D38" s="183" t="s">
        <v>2482</v>
      </c>
      <c r="E38" s="184"/>
      <c r="F38" s="185"/>
      <c r="G38" s="184" t="s">
        <v>2483</v>
      </c>
      <c r="H38" s="186">
        <v>7540</v>
      </c>
      <c r="I38" s="187"/>
      <c r="J38" s="188"/>
      <c r="K38" s="188"/>
      <c r="L38" s="187"/>
      <c r="O38" s="460"/>
      <c r="P38" s="183" t="s">
        <v>2479</v>
      </c>
      <c r="Q38" s="184"/>
      <c r="R38" s="185" t="s">
        <v>2506</v>
      </c>
      <c r="S38" s="184"/>
      <c r="T38" s="185"/>
      <c r="U38" s="187"/>
      <c r="V38" s="188" t="s">
        <v>2480</v>
      </c>
    </row>
    <row r="39" spans="1:22" ht="45" x14ac:dyDescent="0.25">
      <c r="A39" s="152"/>
      <c r="B39" s="460" t="s">
        <v>2471</v>
      </c>
      <c r="C39" s="460" t="s">
        <v>2472</v>
      </c>
      <c r="D39" s="173" t="s">
        <v>2473</v>
      </c>
      <c r="E39" s="461" t="s">
        <v>2474</v>
      </c>
      <c r="F39" s="461"/>
      <c r="G39" s="461" t="s">
        <v>2475</v>
      </c>
      <c r="H39" s="461"/>
      <c r="I39" s="174">
        <v>821318.3</v>
      </c>
      <c r="J39" s="175" t="s">
        <v>2490</v>
      </c>
      <c r="K39" s="175" t="s">
        <v>2477</v>
      </c>
      <c r="L39" s="176" t="s">
        <v>2478</v>
      </c>
      <c r="O39" s="460" t="s">
        <v>2540</v>
      </c>
      <c r="P39" s="173" t="s">
        <v>2543</v>
      </c>
      <c r="Q39" s="461" t="s">
        <v>2474</v>
      </c>
      <c r="R39" s="461"/>
      <c r="S39" s="461" t="s">
        <v>2542</v>
      </c>
      <c r="T39" s="461"/>
      <c r="U39" s="174">
        <v>2071.4299999999998</v>
      </c>
      <c r="V39" s="175" t="s">
        <v>2488</v>
      </c>
    </row>
    <row r="40" spans="1:22" ht="34.5" thickBot="1" x14ac:dyDescent="0.3">
      <c r="A40" s="152"/>
      <c r="B40" s="460"/>
      <c r="C40" s="460"/>
      <c r="D40" s="177" t="s">
        <v>2479</v>
      </c>
      <c r="E40" s="178"/>
      <c r="F40" s="179">
        <v>2</v>
      </c>
      <c r="G40" s="178"/>
      <c r="H40" s="180"/>
      <c r="I40" s="181"/>
      <c r="J40" s="182" t="s">
        <v>2480</v>
      </c>
      <c r="K40" s="182" t="s">
        <v>2481</v>
      </c>
      <c r="L40" s="181"/>
      <c r="O40" s="460"/>
      <c r="P40" s="183" t="s">
        <v>2479</v>
      </c>
      <c r="Q40" s="184"/>
      <c r="R40" s="185" t="s">
        <v>2506</v>
      </c>
      <c r="S40" s="184"/>
      <c r="T40" s="185"/>
      <c r="U40" s="187"/>
      <c r="V40" s="188" t="s">
        <v>2480</v>
      </c>
    </row>
    <row r="41" spans="1:22" ht="57" thickBot="1" x14ac:dyDescent="0.3">
      <c r="A41" s="152"/>
      <c r="B41" s="460"/>
      <c r="C41" s="460"/>
      <c r="D41" s="183" t="s">
        <v>2482</v>
      </c>
      <c r="E41" s="184"/>
      <c r="F41" s="185"/>
      <c r="G41" s="184" t="s">
        <v>2483</v>
      </c>
      <c r="H41" s="186">
        <v>11080</v>
      </c>
      <c r="I41" s="187"/>
      <c r="J41" s="188"/>
      <c r="K41" s="188"/>
      <c r="L41" s="187"/>
      <c r="O41" s="460" t="s">
        <v>2540</v>
      </c>
      <c r="P41" s="173" t="s">
        <v>2541</v>
      </c>
      <c r="Q41" s="461" t="s">
        <v>2474</v>
      </c>
      <c r="R41" s="461"/>
      <c r="S41" s="461" t="s">
        <v>2542</v>
      </c>
      <c r="T41" s="461"/>
      <c r="U41" s="174">
        <v>2803.71</v>
      </c>
      <c r="V41" s="175" t="s">
        <v>2489</v>
      </c>
    </row>
    <row r="42" spans="1:22" ht="45.75" thickBot="1" x14ac:dyDescent="0.3">
      <c r="A42" s="152"/>
      <c r="B42" s="460" t="s">
        <v>2471</v>
      </c>
      <c r="C42" s="460" t="s">
        <v>2472</v>
      </c>
      <c r="D42" s="173" t="s">
        <v>2473</v>
      </c>
      <c r="E42" s="461" t="s">
        <v>2474</v>
      </c>
      <c r="F42" s="461"/>
      <c r="G42" s="461" t="s">
        <v>2475</v>
      </c>
      <c r="H42" s="461"/>
      <c r="I42" s="174">
        <v>1482524</v>
      </c>
      <c r="J42" s="175" t="s">
        <v>2491</v>
      </c>
      <c r="K42" s="175" t="s">
        <v>2477</v>
      </c>
      <c r="L42" s="176" t="s">
        <v>2478</v>
      </c>
      <c r="O42" s="460"/>
      <c r="P42" s="183" t="s">
        <v>2479</v>
      </c>
      <c r="Q42" s="184"/>
      <c r="R42" s="185" t="s">
        <v>2506</v>
      </c>
      <c r="S42" s="184"/>
      <c r="T42" s="185"/>
      <c r="U42" s="187"/>
      <c r="V42" s="188" t="s">
        <v>2480</v>
      </c>
    </row>
    <row r="43" spans="1:22" ht="56.25" x14ac:dyDescent="0.25">
      <c r="A43" s="152"/>
      <c r="B43" s="460"/>
      <c r="C43" s="460"/>
      <c r="D43" s="177" t="s">
        <v>2479</v>
      </c>
      <c r="E43" s="178"/>
      <c r="F43" s="179">
        <v>1</v>
      </c>
      <c r="G43" s="178"/>
      <c r="H43" s="180"/>
      <c r="I43" s="181"/>
      <c r="J43" s="182" t="s">
        <v>2480</v>
      </c>
      <c r="K43" s="182" t="s">
        <v>2481</v>
      </c>
      <c r="L43" s="181"/>
      <c r="O43" s="460" t="s">
        <v>2540</v>
      </c>
      <c r="P43" s="173" t="s">
        <v>2543</v>
      </c>
      <c r="Q43" s="461" t="s">
        <v>2474</v>
      </c>
      <c r="R43" s="461"/>
      <c r="S43" s="461" t="s">
        <v>2542</v>
      </c>
      <c r="T43" s="461"/>
      <c r="U43" s="190">
        <v>538.57000000000005</v>
      </c>
      <c r="V43" s="175" t="s">
        <v>2489</v>
      </c>
    </row>
    <row r="44" spans="1:22" ht="23.25" thickBot="1" x14ac:dyDescent="0.3">
      <c r="A44" s="152"/>
      <c r="B44" s="460"/>
      <c r="C44" s="460"/>
      <c r="D44" s="183" t="s">
        <v>2482</v>
      </c>
      <c r="E44" s="184"/>
      <c r="F44" s="185"/>
      <c r="G44" s="184" t="s">
        <v>2483</v>
      </c>
      <c r="H44" s="186">
        <v>20000</v>
      </c>
      <c r="I44" s="187"/>
      <c r="J44" s="188"/>
      <c r="K44" s="188"/>
      <c r="L44" s="187"/>
      <c r="O44" s="460"/>
      <c r="P44" s="183" t="s">
        <v>2479</v>
      </c>
      <c r="Q44" s="184"/>
      <c r="R44" s="185" t="s">
        <v>2506</v>
      </c>
      <c r="S44" s="184"/>
      <c r="T44" s="185"/>
      <c r="U44" s="187"/>
      <c r="V44" s="188" t="s">
        <v>2480</v>
      </c>
    </row>
    <row r="45" spans="1:22" ht="45" x14ac:dyDescent="0.25">
      <c r="A45" s="152"/>
      <c r="B45" s="460" t="s">
        <v>2471</v>
      </c>
      <c r="C45" s="460" t="s">
        <v>2472</v>
      </c>
      <c r="D45" s="173" t="s">
        <v>2473</v>
      </c>
      <c r="E45" s="461" t="s">
        <v>2474</v>
      </c>
      <c r="F45" s="461"/>
      <c r="G45" s="461" t="s">
        <v>2475</v>
      </c>
      <c r="H45" s="461"/>
      <c r="I45" s="174">
        <v>3765610.96</v>
      </c>
      <c r="J45" s="175" t="s">
        <v>2492</v>
      </c>
      <c r="K45" s="175" t="s">
        <v>2477</v>
      </c>
      <c r="L45" s="176" t="s">
        <v>2478</v>
      </c>
      <c r="O45" s="460" t="s">
        <v>2540</v>
      </c>
      <c r="P45" s="173" t="s">
        <v>2541</v>
      </c>
      <c r="Q45" s="461" t="s">
        <v>2474</v>
      </c>
      <c r="R45" s="461"/>
      <c r="S45" s="461" t="s">
        <v>2542</v>
      </c>
      <c r="T45" s="461"/>
      <c r="U45" s="174">
        <v>4120.04</v>
      </c>
      <c r="V45" s="175" t="s">
        <v>2490</v>
      </c>
    </row>
    <row r="46" spans="1:22" ht="34.5" thickBot="1" x14ac:dyDescent="0.3">
      <c r="A46" s="152"/>
      <c r="B46" s="460"/>
      <c r="C46" s="460"/>
      <c r="D46" s="177" t="s">
        <v>2479</v>
      </c>
      <c r="E46" s="178"/>
      <c r="F46" s="179">
        <v>2</v>
      </c>
      <c r="G46" s="178"/>
      <c r="H46" s="180"/>
      <c r="I46" s="181"/>
      <c r="J46" s="182" t="s">
        <v>2480</v>
      </c>
      <c r="K46" s="182" t="s">
        <v>2481</v>
      </c>
      <c r="L46" s="181"/>
      <c r="O46" s="460"/>
      <c r="P46" s="183" t="s">
        <v>2479</v>
      </c>
      <c r="Q46" s="184"/>
      <c r="R46" s="185" t="s">
        <v>2506</v>
      </c>
      <c r="S46" s="184"/>
      <c r="T46" s="185"/>
      <c r="U46" s="187"/>
      <c r="V46" s="188" t="s">
        <v>2480</v>
      </c>
    </row>
    <row r="47" spans="1:22" ht="45.75" thickBot="1" x14ac:dyDescent="0.3">
      <c r="A47" s="152"/>
      <c r="B47" s="460"/>
      <c r="C47" s="460"/>
      <c r="D47" s="183" t="s">
        <v>2482</v>
      </c>
      <c r="E47" s="184"/>
      <c r="F47" s="185"/>
      <c r="G47" s="184" t="s">
        <v>2483</v>
      </c>
      <c r="H47" s="186">
        <v>50800</v>
      </c>
      <c r="I47" s="187"/>
      <c r="J47" s="188"/>
      <c r="K47" s="188"/>
      <c r="L47" s="187"/>
      <c r="O47" s="460" t="s">
        <v>2540</v>
      </c>
      <c r="P47" s="173" t="s">
        <v>2543</v>
      </c>
      <c r="Q47" s="461" t="s">
        <v>2474</v>
      </c>
      <c r="R47" s="461"/>
      <c r="S47" s="461" t="s">
        <v>2542</v>
      </c>
      <c r="T47" s="461"/>
      <c r="U47" s="190">
        <v>791.43</v>
      </c>
      <c r="V47" s="175" t="s">
        <v>2490</v>
      </c>
    </row>
    <row r="48" spans="1:22" ht="45.75" thickBot="1" x14ac:dyDescent="0.3">
      <c r="A48" s="152"/>
      <c r="B48" s="460" t="s">
        <v>2471</v>
      </c>
      <c r="C48" s="460" t="s">
        <v>2472</v>
      </c>
      <c r="D48" s="173" t="s">
        <v>2473</v>
      </c>
      <c r="E48" s="461" t="s">
        <v>2474</v>
      </c>
      <c r="F48" s="461"/>
      <c r="G48" s="461" t="s">
        <v>2475</v>
      </c>
      <c r="H48" s="461"/>
      <c r="I48" s="174">
        <v>333567.90000000002</v>
      </c>
      <c r="J48" s="175" t="s">
        <v>2493</v>
      </c>
      <c r="K48" s="175" t="s">
        <v>2477</v>
      </c>
      <c r="L48" s="176" t="s">
        <v>2478</v>
      </c>
      <c r="O48" s="460"/>
      <c r="P48" s="183" t="s">
        <v>2479</v>
      </c>
      <c r="Q48" s="184"/>
      <c r="R48" s="185" t="s">
        <v>2506</v>
      </c>
      <c r="S48" s="184"/>
      <c r="T48" s="185"/>
      <c r="U48" s="187"/>
      <c r="V48" s="188" t="s">
        <v>2480</v>
      </c>
    </row>
    <row r="49" spans="1:22" ht="33.75" x14ac:dyDescent="0.25">
      <c r="A49" s="152"/>
      <c r="B49" s="460"/>
      <c r="C49" s="460"/>
      <c r="D49" s="177" t="s">
        <v>2479</v>
      </c>
      <c r="E49" s="178"/>
      <c r="F49" s="179">
        <v>1</v>
      </c>
      <c r="G49" s="178"/>
      <c r="H49" s="180"/>
      <c r="I49" s="181"/>
      <c r="J49" s="182" t="s">
        <v>2480</v>
      </c>
      <c r="K49" s="182" t="s">
        <v>2481</v>
      </c>
      <c r="L49" s="181"/>
      <c r="O49" s="460" t="s">
        <v>2540</v>
      </c>
      <c r="P49" s="173" t="s">
        <v>2541</v>
      </c>
      <c r="Q49" s="461" t="s">
        <v>2474</v>
      </c>
      <c r="R49" s="461"/>
      <c r="S49" s="461" t="s">
        <v>2542</v>
      </c>
      <c r="T49" s="461"/>
      <c r="U49" s="174">
        <v>7436.9</v>
      </c>
      <c r="V49" s="175" t="s">
        <v>2491</v>
      </c>
    </row>
    <row r="50" spans="1:22" ht="23.25" thickBot="1" x14ac:dyDescent="0.3">
      <c r="A50" s="152"/>
      <c r="B50" s="460"/>
      <c r="C50" s="460"/>
      <c r="D50" s="183" t="s">
        <v>2482</v>
      </c>
      <c r="E50" s="184"/>
      <c r="F50" s="185"/>
      <c r="G50" s="184" t="s">
        <v>2483</v>
      </c>
      <c r="H50" s="186">
        <v>4500</v>
      </c>
      <c r="I50" s="187"/>
      <c r="J50" s="188"/>
      <c r="K50" s="188"/>
      <c r="L50" s="187"/>
      <c r="O50" s="460"/>
      <c r="P50" s="183" t="s">
        <v>2479</v>
      </c>
      <c r="Q50" s="184"/>
      <c r="R50" s="185" t="s">
        <v>2506</v>
      </c>
      <c r="S50" s="184"/>
      <c r="T50" s="185"/>
      <c r="U50" s="187"/>
      <c r="V50" s="188" t="s">
        <v>2480</v>
      </c>
    </row>
    <row r="51" spans="1:22" ht="45" x14ac:dyDescent="0.25">
      <c r="A51" s="152"/>
      <c r="B51" s="460" t="s">
        <v>2471</v>
      </c>
      <c r="C51" s="460" t="s">
        <v>2472</v>
      </c>
      <c r="D51" s="173" t="s">
        <v>2473</v>
      </c>
      <c r="E51" s="461" t="s">
        <v>2474</v>
      </c>
      <c r="F51" s="461"/>
      <c r="G51" s="461" t="s">
        <v>2475</v>
      </c>
      <c r="H51" s="461"/>
      <c r="I51" s="174">
        <v>1445460.9</v>
      </c>
      <c r="J51" s="175" t="s">
        <v>2494</v>
      </c>
      <c r="K51" s="175" t="s">
        <v>2477</v>
      </c>
      <c r="L51" s="176" t="s">
        <v>2478</v>
      </c>
      <c r="O51" s="460" t="s">
        <v>2540</v>
      </c>
      <c r="P51" s="173" t="s">
        <v>2543</v>
      </c>
      <c r="Q51" s="461" t="s">
        <v>2474</v>
      </c>
      <c r="R51" s="461"/>
      <c r="S51" s="461" t="s">
        <v>2542</v>
      </c>
      <c r="T51" s="461"/>
      <c r="U51" s="174">
        <v>1428.57</v>
      </c>
      <c r="V51" s="175" t="s">
        <v>2491</v>
      </c>
    </row>
    <row r="52" spans="1:22" ht="34.5" thickBot="1" x14ac:dyDescent="0.3">
      <c r="A52" s="152"/>
      <c r="B52" s="460"/>
      <c r="C52" s="460"/>
      <c r="D52" s="177" t="s">
        <v>2479</v>
      </c>
      <c r="E52" s="178"/>
      <c r="F52" s="179">
        <v>1</v>
      </c>
      <c r="G52" s="178"/>
      <c r="H52" s="180"/>
      <c r="I52" s="181"/>
      <c r="J52" s="182" t="s">
        <v>2480</v>
      </c>
      <c r="K52" s="182" t="s">
        <v>2481</v>
      </c>
      <c r="L52" s="181"/>
      <c r="O52" s="460"/>
      <c r="P52" s="183" t="s">
        <v>2479</v>
      </c>
      <c r="Q52" s="184"/>
      <c r="R52" s="185" t="s">
        <v>2506</v>
      </c>
      <c r="S52" s="184"/>
      <c r="T52" s="185"/>
      <c r="U52" s="187"/>
      <c r="V52" s="188" t="s">
        <v>2480</v>
      </c>
    </row>
    <row r="53" spans="1:22" ht="45.75" thickBot="1" x14ac:dyDescent="0.3">
      <c r="A53" s="152"/>
      <c r="B53" s="460"/>
      <c r="C53" s="460"/>
      <c r="D53" s="183" t="s">
        <v>2482</v>
      </c>
      <c r="E53" s="184"/>
      <c r="F53" s="185"/>
      <c r="G53" s="184" t="s">
        <v>2483</v>
      </c>
      <c r="H53" s="186">
        <v>19500</v>
      </c>
      <c r="I53" s="187"/>
      <c r="J53" s="188"/>
      <c r="K53" s="188"/>
      <c r="L53" s="187"/>
      <c r="O53" s="460" t="s">
        <v>2540</v>
      </c>
      <c r="P53" s="173" t="s">
        <v>2541</v>
      </c>
      <c r="Q53" s="461" t="s">
        <v>2474</v>
      </c>
      <c r="R53" s="461"/>
      <c r="S53" s="461" t="s">
        <v>2542</v>
      </c>
      <c r="T53" s="461"/>
      <c r="U53" s="174">
        <v>18889.72</v>
      </c>
      <c r="V53" s="175" t="s">
        <v>2492</v>
      </c>
    </row>
    <row r="54" spans="1:22" ht="45.75" thickBot="1" x14ac:dyDescent="0.3">
      <c r="A54" s="152"/>
      <c r="B54" s="460" t="s">
        <v>2471</v>
      </c>
      <c r="C54" s="460" t="s">
        <v>2472</v>
      </c>
      <c r="D54" s="173" t="s">
        <v>2473</v>
      </c>
      <c r="E54" s="461" t="s">
        <v>2474</v>
      </c>
      <c r="F54" s="461"/>
      <c r="G54" s="461" t="s">
        <v>2475</v>
      </c>
      <c r="H54" s="461"/>
      <c r="I54" s="174">
        <v>489232.92</v>
      </c>
      <c r="J54" s="175" t="s">
        <v>2495</v>
      </c>
      <c r="K54" s="175" t="s">
        <v>2477</v>
      </c>
      <c r="L54" s="176" t="s">
        <v>2478</v>
      </c>
      <c r="O54" s="460"/>
      <c r="P54" s="183" t="s">
        <v>2479</v>
      </c>
      <c r="Q54" s="184"/>
      <c r="R54" s="185" t="s">
        <v>2506</v>
      </c>
      <c r="S54" s="184"/>
      <c r="T54" s="185"/>
      <c r="U54" s="187"/>
      <c r="V54" s="188" t="s">
        <v>2480</v>
      </c>
    </row>
    <row r="55" spans="1:22" ht="45" x14ac:dyDescent="0.25">
      <c r="A55" s="152"/>
      <c r="B55" s="460"/>
      <c r="C55" s="460"/>
      <c r="D55" s="177" t="s">
        <v>2479</v>
      </c>
      <c r="E55" s="178"/>
      <c r="F55" s="179">
        <v>1</v>
      </c>
      <c r="G55" s="178"/>
      <c r="H55" s="180"/>
      <c r="I55" s="181"/>
      <c r="J55" s="182" t="s">
        <v>2480</v>
      </c>
      <c r="K55" s="182" t="s">
        <v>2481</v>
      </c>
      <c r="L55" s="181"/>
      <c r="O55" s="460" t="s">
        <v>2540</v>
      </c>
      <c r="P55" s="173" t="s">
        <v>2543</v>
      </c>
      <c r="Q55" s="461" t="s">
        <v>2474</v>
      </c>
      <c r="R55" s="461"/>
      <c r="S55" s="461" t="s">
        <v>2542</v>
      </c>
      <c r="T55" s="461"/>
      <c r="U55" s="174">
        <v>3628.57</v>
      </c>
      <c r="V55" s="175" t="s">
        <v>2492</v>
      </c>
    </row>
    <row r="56" spans="1:22" ht="23.25" thickBot="1" x14ac:dyDescent="0.3">
      <c r="A56" s="152"/>
      <c r="B56" s="460"/>
      <c r="C56" s="460"/>
      <c r="D56" s="183" t="s">
        <v>2482</v>
      </c>
      <c r="E56" s="184"/>
      <c r="F56" s="185"/>
      <c r="G56" s="184" t="s">
        <v>2483</v>
      </c>
      <c r="H56" s="186">
        <v>6600</v>
      </c>
      <c r="I56" s="187"/>
      <c r="J56" s="188"/>
      <c r="K56" s="188"/>
      <c r="L56" s="187"/>
      <c r="O56" s="460"/>
      <c r="P56" s="183" t="s">
        <v>2479</v>
      </c>
      <c r="Q56" s="184"/>
      <c r="R56" s="185" t="s">
        <v>2506</v>
      </c>
      <c r="S56" s="184"/>
      <c r="T56" s="185"/>
      <c r="U56" s="187"/>
      <c r="V56" s="188" t="s">
        <v>2480</v>
      </c>
    </row>
    <row r="57" spans="1:22" ht="45" x14ac:dyDescent="0.25">
      <c r="A57" s="152"/>
      <c r="B57" s="460" t="s">
        <v>2471</v>
      </c>
      <c r="C57" s="460" t="s">
        <v>2472</v>
      </c>
      <c r="D57" s="173" t="s">
        <v>2473</v>
      </c>
      <c r="E57" s="461" t="s">
        <v>2474</v>
      </c>
      <c r="F57" s="461"/>
      <c r="G57" s="461" t="s">
        <v>2475</v>
      </c>
      <c r="H57" s="461"/>
      <c r="I57" s="174">
        <v>177902.88</v>
      </c>
      <c r="J57" s="175" t="s">
        <v>2496</v>
      </c>
      <c r="K57" s="175" t="s">
        <v>2477</v>
      </c>
      <c r="L57" s="176" t="s">
        <v>2478</v>
      </c>
      <c r="O57" s="460" t="s">
        <v>2540</v>
      </c>
      <c r="P57" s="173" t="s">
        <v>2541</v>
      </c>
      <c r="Q57" s="461" t="s">
        <v>2474</v>
      </c>
      <c r="R57" s="461"/>
      <c r="S57" s="461" t="s">
        <v>2542</v>
      </c>
      <c r="T57" s="461"/>
      <c r="U57" s="174">
        <v>1673.3</v>
      </c>
      <c r="V57" s="175" t="s">
        <v>2493</v>
      </c>
    </row>
    <row r="58" spans="1:22" ht="34.5" thickBot="1" x14ac:dyDescent="0.3">
      <c r="A58" s="152"/>
      <c r="B58" s="460"/>
      <c r="C58" s="460"/>
      <c r="D58" s="177" t="s">
        <v>2479</v>
      </c>
      <c r="E58" s="178"/>
      <c r="F58" s="179">
        <v>24</v>
      </c>
      <c r="G58" s="178"/>
      <c r="H58" s="180"/>
      <c r="I58" s="181"/>
      <c r="J58" s="182" t="s">
        <v>2480</v>
      </c>
      <c r="K58" s="182" t="s">
        <v>2481</v>
      </c>
      <c r="L58" s="181"/>
      <c r="O58" s="460"/>
      <c r="P58" s="183" t="s">
        <v>2479</v>
      </c>
      <c r="Q58" s="184"/>
      <c r="R58" s="185" t="s">
        <v>2506</v>
      </c>
      <c r="S58" s="184"/>
      <c r="T58" s="185"/>
      <c r="U58" s="187"/>
      <c r="V58" s="188" t="s">
        <v>2480</v>
      </c>
    </row>
    <row r="59" spans="1:22" ht="34.5" thickBot="1" x14ac:dyDescent="0.3">
      <c r="A59" s="152"/>
      <c r="B59" s="460"/>
      <c r="C59" s="460"/>
      <c r="D59" s="183" t="s">
        <v>2482</v>
      </c>
      <c r="E59" s="184"/>
      <c r="F59" s="185"/>
      <c r="G59" s="184" t="s">
        <v>2483</v>
      </c>
      <c r="H59" s="186">
        <v>2400</v>
      </c>
      <c r="I59" s="187"/>
      <c r="J59" s="188"/>
      <c r="K59" s="188"/>
      <c r="L59" s="187"/>
      <c r="O59" s="460" t="s">
        <v>2540</v>
      </c>
      <c r="P59" s="173" t="s">
        <v>2543</v>
      </c>
      <c r="Q59" s="461" t="s">
        <v>2474</v>
      </c>
      <c r="R59" s="461"/>
      <c r="S59" s="461" t="s">
        <v>2542</v>
      </c>
      <c r="T59" s="461"/>
      <c r="U59" s="190">
        <v>321.43</v>
      </c>
      <c r="V59" s="175" t="s">
        <v>2493</v>
      </c>
    </row>
    <row r="60" spans="1:22" ht="45.75" thickBot="1" x14ac:dyDescent="0.3">
      <c r="A60" s="152"/>
      <c r="B60" s="460" t="s">
        <v>2471</v>
      </c>
      <c r="C60" s="460" t="s">
        <v>2472</v>
      </c>
      <c r="D60" s="173" t="s">
        <v>2473</v>
      </c>
      <c r="E60" s="461" t="s">
        <v>2474</v>
      </c>
      <c r="F60" s="461"/>
      <c r="G60" s="461" t="s">
        <v>2475</v>
      </c>
      <c r="H60" s="461"/>
      <c r="I60" s="174">
        <v>644897.93999999994</v>
      </c>
      <c r="J60" s="175" t="s">
        <v>2497</v>
      </c>
      <c r="K60" s="175" t="s">
        <v>2477</v>
      </c>
      <c r="L60" s="176" t="s">
        <v>2478</v>
      </c>
      <c r="O60" s="460"/>
      <c r="P60" s="183" t="s">
        <v>2479</v>
      </c>
      <c r="Q60" s="184"/>
      <c r="R60" s="185" t="s">
        <v>2506</v>
      </c>
      <c r="S60" s="184"/>
      <c r="T60" s="185"/>
      <c r="U60" s="187"/>
      <c r="V60" s="188" t="s">
        <v>2480</v>
      </c>
    </row>
    <row r="61" spans="1:22" ht="33.75" x14ac:dyDescent="0.25">
      <c r="A61" s="152"/>
      <c r="B61" s="460"/>
      <c r="C61" s="460"/>
      <c r="D61" s="177" t="s">
        <v>2479</v>
      </c>
      <c r="E61" s="178"/>
      <c r="F61" s="179">
        <v>1</v>
      </c>
      <c r="G61" s="178"/>
      <c r="H61" s="180"/>
      <c r="I61" s="181"/>
      <c r="J61" s="182" t="s">
        <v>2480</v>
      </c>
      <c r="K61" s="182" t="s">
        <v>2481</v>
      </c>
      <c r="L61" s="181"/>
      <c r="O61" s="460" t="s">
        <v>2540</v>
      </c>
      <c r="P61" s="173" t="s">
        <v>2541</v>
      </c>
      <c r="Q61" s="461" t="s">
        <v>2474</v>
      </c>
      <c r="R61" s="461"/>
      <c r="S61" s="461" t="s">
        <v>2542</v>
      </c>
      <c r="T61" s="461"/>
      <c r="U61" s="174">
        <v>7250.98</v>
      </c>
      <c r="V61" s="175" t="s">
        <v>2494</v>
      </c>
    </row>
    <row r="62" spans="1:22" ht="23.25" thickBot="1" x14ac:dyDescent="0.3">
      <c r="A62" s="152"/>
      <c r="B62" s="460"/>
      <c r="C62" s="460"/>
      <c r="D62" s="183" t="s">
        <v>2482</v>
      </c>
      <c r="E62" s="184"/>
      <c r="F62" s="185"/>
      <c r="G62" s="184" t="s">
        <v>2483</v>
      </c>
      <c r="H62" s="186">
        <v>8700</v>
      </c>
      <c r="I62" s="187"/>
      <c r="J62" s="188"/>
      <c r="K62" s="188"/>
      <c r="L62" s="187"/>
      <c r="O62" s="460"/>
      <c r="P62" s="183" t="s">
        <v>2479</v>
      </c>
      <c r="Q62" s="184"/>
      <c r="R62" s="185" t="s">
        <v>2506</v>
      </c>
      <c r="S62" s="184"/>
      <c r="T62" s="185"/>
      <c r="U62" s="187"/>
      <c r="V62" s="188" t="s">
        <v>2480</v>
      </c>
    </row>
    <row r="63" spans="1:22" ht="45" x14ac:dyDescent="0.25">
      <c r="A63" s="152"/>
      <c r="B63" s="460" t="s">
        <v>2471</v>
      </c>
      <c r="C63" s="460" t="s">
        <v>2472</v>
      </c>
      <c r="D63" s="173" t="s">
        <v>2473</v>
      </c>
      <c r="E63" s="461" t="s">
        <v>2474</v>
      </c>
      <c r="F63" s="461"/>
      <c r="G63" s="461" t="s">
        <v>2475</v>
      </c>
      <c r="H63" s="461"/>
      <c r="I63" s="174">
        <v>2223786</v>
      </c>
      <c r="J63" s="175" t="s">
        <v>2498</v>
      </c>
      <c r="K63" s="175" t="s">
        <v>2477</v>
      </c>
      <c r="L63" s="176" t="s">
        <v>2478</v>
      </c>
      <c r="O63" s="460" t="s">
        <v>2540</v>
      </c>
      <c r="P63" s="173" t="s">
        <v>2543</v>
      </c>
      <c r="Q63" s="461" t="s">
        <v>2474</v>
      </c>
      <c r="R63" s="461"/>
      <c r="S63" s="461" t="s">
        <v>2542</v>
      </c>
      <c r="T63" s="461"/>
      <c r="U63" s="174">
        <v>1392.86</v>
      </c>
      <c r="V63" s="175" t="s">
        <v>2494</v>
      </c>
    </row>
    <row r="64" spans="1:22" ht="34.5" thickBot="1" x14ac:dyDescent="0.3">
      <c r="A64" s="152"/>
      <c r="B64" s="460"/>
      <c r="C64" s="460"/>
      <c r="D64" s="177" t="s">
        <v>2479</v>
      </c>
      <c r="E64" s="178"/>
      <c r="F64" s="179">
        <v>1</v>
      </c>
      <c r="G64" s="178"/>
      <c r="H64" s="180"/>
      <c r="I64" s="181"/>
      <c r="J64" s="182" t="s">
        <v>2480</v>
      </c>
      <c r="K64" s="182" t="s">
        <v>2481</v>
      </c>
      <c r="L64" s="181"/>
      <c r="O64" s="460"/>
      <c r="P64" s="183" t="s">
        <v>2479</v>
      </c>
      <c r="Q64" s="184"/>
      <c r="R64" s="185" t="s">
        <v>2506</v>
      </c>
      <c r="S64" s="184"/>
      <c r="T64" s="185"/>
      <c r="U64" s="187"/>
      <c r="V64" s="188" t="s">
        <v>2480</v>
      </c>
    </row>
    <row r="65" spans="1:22" ht="34.5" thickBot="1" x14ac:dyDescent="0.3">
      <c r="A65" s="152"/>
      <c r="B65" s="460"/>
      <c r="C65" s="460"/>
      <c r="D65" s="183" t="s">
        <v>2482</v>
      </c>
      <c r="E65" s="184"/>
      <c r="F65" s="185"/>
      <c r="G65" s="184" t="s">
        <v>2483</v>
      </c>
      <c r="H65" s="186">
        <v>30000</v>
      </c>
      <c r="I65" s="187"/>
      <c r="J65" s="188"/>
      <c r="K65" s="188"/>
      <c r="L65" s="187"/>
      <c r="O65" s="460" t="s">
        <v>2540</v>
      </c>
      <c r="P65" s="173" t="s">
        <v>2541</v>
      </c>
      <c r="Q65" s="461" t="s">
        <v>2474</v>
      </c>
      <c r="R65" s="461"/>
      <c r="S65" s="461" t="s">
        <v>2542</v>
      </c>
      <c r="T65" s="461"/>
      <c r="U65" s="174">
        <v>2454.1799999999998</v>
      </c>
      <c r="V65" s="175" t="s">
        <v>2495</v>
      </c>
    </row>
    <row r="66" spans="1:22" ht="45.75" thickBot="1" x14ac:dyDescent="0.3">
      <c r="A66" s="152"/>
      <c r="B66" s="460" t="s">
        <v>2471</v>
      </c>
      <c r="C66" s="460" t="s">
        <v>2472</v>
      </c>
      <c r="D66" s="173" t="s">
        <v>2473</v>
      </c>
      <c r="E66" s="461" t="s">
        <v>2474</v>
      </c>
      <c r="F66" s="461"/>
      <c r="G66" s="461" t="s">
        <v>2475</v>
      </c>
      <c r="H66" s="461"/>
      <c r="I66" s="174">
        <v>22830.87</v>
      </c>
      <c r="J66" s="175" t="s">
        <v>2499</v>
      </c>
      <c r="K66" s="175" t="s">
        <v>2477</v>
      </c>
      <c r="L66" s="176" t="s">
        <v>2478</v>
      </c>
      <c r="O66" s="460"/>
      <c r="P66" s="183" t="s">
        <v>2479</v>
      </c>
      <c r="Q66" s="184"/>
      <c r="R66" s="185" t="s">
        <v>2506</v>
      </c>
      <c r="S66" s="184"/>
      <c r="T66" s="185"/>
      <c r="U66" s="187"/>
      <c r="V66" s="188" t="s">
        <v>2480</v>
      </c>
    </row>
    <row r="67" spans="1:22" ht="33.75" x14ac:dyDescent="0.25">
      <c r="A67" s="152"/>
      <c r="B67" s="460"/>
      <c r="C67" s="460"/>
      <c r="D67" s="177" t="s">
        <v>2479</v>
      </c>
      <c r="E67" s="178"/>
      <c r="F67" s="179">
        <v>1</v>
      </c>
      <c r="G67" s="178"/>
      <c r="H67" s="180"/>
      <c r="I67" s="181"/>
      <c r="J67" s="182" t="s">
        <v>2480</v>
      </c>
      <c r="K67" s="182" t="s">
        <v>2481</v>
      </c>
      <c r="L67" s="181"/>
      <c r="O67" s="460" t="s">
        <v>2540</v>
      </c>
      <c r="P67" s="173" t="s">
        <v>2543</v>
      </c>
      <c r="Q67" s="461" t="s">
        <v>2474</v>
      </c>
      <c r="R67" s="461"/>
      <c r="S67" s="461" t="s">
        <v>2542</v>
      </c>
      <c r="T67" s="461"/>
      <c r="U67" s="190">
        <v>471.42</v>
      </c>
      <c r="V67" s="175" t="s">
        <v>2495</v>
      </c>
    </row>
    <row r="68" spans="1:22" ht="23.25" thickBot="1" x14ac:dyDescent="0.3">
      <c r="A68" s="152"/>
      <c r="B68" s="460"/>
      <c r="C68" s="460"/>
      <c r="D68" s="183" t="s">
        <v>2482</v>
      </c>
      <c r="E68" s="184"/>
      <c r="F68" s="185"/>
      <c r="G68" s="184" t="s">
        <v>2483</v>
      </c>
      <c r="H68" s="189">
        <v>308</v>
      </c>
      <c r="I68" s="187"/>
      <c r="J68" s="188"/>
      <c r="K68" s="188"/>
      <c r="L68" s="187"/>
      <c r="O68" s="460"/>
      <c r="P68" s="183" t="s">
        <v>2479</v>
      </c>
      <c r="Q68" s="184"/>
      <c r="R68" s="185" t="s">
        <v>2506</v>
      </c>
      <c r="S68" s="184"/>
      <c r="T68" s="185"/>
      <c r="U68" s="187"/>
      <c r="V68" s="188" t="s">
        <v>2480</v>
      </c>
    </row>
    <row r="69" spans="1:22" ht="45" x14ac:dyDescent="0.25">
      <c r="A69" s="152"/>
      <c r="B69" s="460" t="s">
        <v>2471</v>
      </c>
      <c r="C69" s="460" t="s">
        <v>2472</v>
      </c>
      <c r="D69" s="173" t="s">
        <v>2473</v>
      </c>
      <c r="E69" s="461" t="s">
        <v>2474</v>
      </c>
      <c r="F69" s="461"/>
      <c r="G69" s="461" t="s">
        <v>2475</v>
      </c>
      <c r="H69" s="461"/>
      <c r="I69" s="174">
        <v>11118.93</v>
      </c>
      <c r="J69" s="175" t="s">
        <v>2500</v>
      </c>
      <c r="K69" s="175" t="s">
        <v>2477</v>
      </c>
      <c r="L69" s="176" t="s">
        <v>2478</v>
      </c>
      <c r="O69" s="460" t="s">
        <v>2540</v>
      </c>
      <c r="P69" s="173" t="s">
        <v>2541</v>
      </c>
      <c r="Q69" s="461" t="s">
        <v>2474</v>
      </c>
      <c r="R69" s="461"/>
      <c r="S69" s="461" t="s">
        <v>2542</v>
      </c>
      <c r="T69" s="461"/>
      <c r="U69" s="190">
        <v>892.42</v>
      </c>
      <c r="V69" s="175" t="s">
        <v>2496</v>
      </c>
    </row>
    <row r="70" spans="1:22" ht="34.5" thickBot="1" x14ac:dyDescent="0.3">
      <c r="A70" s="152"/>
      <c r="B70" s="460"/>
      <c r="C70" s="460"/>
      <c r="D70" s="177" t="s">
        <v>2479</v>
      </c>
      <c r="E70" s="178"/>
      <c r="F70" s="179">
        <v>1</v>
      </c>
      <c r="G70" s="178"/>
      <c r="H70" s="180"/>
      <c r="I70" s="181"/>
      <c r="J70" s="182" t="s">
        <v>2480</v>
      </c>
      <c r="K70" s="182" t="s">
        <v>2481</v>
      </c>
      <c r="L70" s="181"/>
      <c r="O70" s="460"/>
      <c r="P70" s="183" t="s">
        <v>2479</v>
      </c>
      <c r="Q70" s="184"/>
      <c r="R70" s="185" t="s">
        <v>2506</v>
      </c>
      <c r="S70" s="184"/>
      <c r="T70" s="185"/>
      <c r="U70" s="187"/>
      <c r="V70" s="188" t="s">
        <v>2480</v>
      </c>
    </row>
    <row r="71" spans="1:22" ht="23.25" thickBot="1" x14ac:dyDescent="0.3">
      <c r="A71" s="152"/>
      <c r="B71" s="460"/>
      <c r="C71" s="460"/>
      <c r="D71" s="183" t="s">
        <v>2482</v>
      </c>
      <c r="E71" s="184"/>
      <c r="F71" s="185"/>
      <c r="G71" s="184" t="s">
        <v>2483</v>
      </c>
      <c r="H71" s="189">
        <v>150</v>
      </c>
      <c r="I71" s="187"/>
      <c r="J71" s="188"/>
      <c r="K71" s="188"/>
      <c r="L71" s="187"/>
      <c r="O71" s="460" t="s">
        <v>2540</v>
      </c>
      <c r="P71" s="173" t="s">
        <v>2543</v>
      </c>
      <c r="Q71" s="461" t="s">
        <v>2474</v>
      </c>
      <c r="R71" s="461"/>
      <c r="S71" s="461" t="s">
        <v>2542</v>
      </c>
      <c r="T71" s="461"/>
      <c r="U71" s="190">
        <v>171.42</v>
      </c>
      <c r="V71" s="175" t="s">
        <v>2496</v>
      </c>
    </row>
    <row r="72" spans="1:22" ht="45.75" thickBot="1" x14ac:dyDescent="0.3">
      <c r="A72" s="152"/>
      <c r="B72" s="460" t="s">
        <v>2471</v>
      </c>
      <c r="C72" s="460" t="s">
        <v>2472</v>
      </c>
      <c r="D72" s="173" t="s">
        <v>2473</v>
      </c>
      <c r="E72" s="461" t="s">
        <v>2474</v>
      </c>
      <c r="F72" s="461"/>
      <c r="G72" s="461" t="s">
        <v>2475</v>
      </c>
      <c r="H72" s="461"/>
      <c r="I72" s="174">
        <v>109410.27</v>
      </c>
      <c r="J72" s="175" t="s">
        <v>2501</v>
      </c>
      <c r="K72" s="175" t="s">
        <v>2477</v>
      </c>
      <c r="L72" s="176" t="s">
        <v>2478</v>
      </c>
      <c r="O72" s="460"/>
      <c r="P72" s="183" t="s">
        <v>2479</v>
      </c>
      <c r="Q72" s="184"/>
      <c r="R72" s="185" t="s">
        <v>2506</v>
      </c>
      <c r="S72" s="184"/>
      <c r="T72" s="185"/>
      <c r="U72" s="187"/>
      <c r="V72" s="188" t="s">
        <v>2480</v>
      </c>
    </row>
    <row r="73" spans="1:22" ht="33.75" x14ac:dyDescent="0.25">
      <c r="A73" s="152"/>
      <c r="B73" s="460"/>
      <c r="C73" s="460"/>
      <c r="D73" s="177" t="s">
        <v>2479</v>
      </c>
      <c r="E73" s="178"/>
      <c r="F73" s="179">
        <v>7</v>
      </c>
      <c r="G73" s="178"/>
      <c r="H73" s="180"/>
      <c r="I73" s="181"/>
      <c r="J73" s="182" t="s">
        <v>2480</v>
      </c>
      <c r="K73" s="182" t="s">
        <v>2481</v>
      </c>
      <c r="L73" s="181"/>
      <c r="O73" s="460" t="s">
        <v>2540</v>
      </c>
      <c r="P73" s="173" t="s">
        <v>2541</v>
      </c>
      <c r="Q73" s="461" t="s">
        <v>2474</v>
      </c>
      <c r="R73" s="461"/>
      <c r="S73" s="461" t="s">
        <v>2542</v>
      </c>
      <c r="T73" s="461"/>
      <c r="U73" s="174">
        <v>3235.05</v>
      </c>
      <c r="V73" s="175" t="s">
        <v>2497</v>
      </c>
    </row>
    <row r="74" spans="1:22" ht="23.25" thickBot="1" x14ac:dyDescent="0.3">
      <c r="A74" s="152"/>
      <c r="B74" s="460"/>
      <c r="C74" s="460"/>
      <c r="D74" s="183" t="s">
        <v>2482</v>
      </c>
      <c r="E74" s="184"/>
      <c r="F74" s="185"/>
      <c r="G74" s="184" t="s">
        <v>2483</v>
      </c>
      <c r="H74" s="186">
        <v>1476</v>
      </c>
      <c r="I74" s="187"/>
      <c r="J74" s="188"/>
      <c r="K74" s="188"/>
      <c r="L74" s="187"/>
      <c r="O74" s="460"/>
      <c r="P74" s="183" t="s">
        <v>2479</v>
      </c>
      <c r="Q74" s="184"/>
      <c r="R74" s="185" t="s">
        <v>2506</v>
      </c>
      <c r="S74" s="184"/>
      <c r="T74" s="185"/>
      <c r="U74" s="187"/>
      <c r="V74" s="188" t="s">
        <v>2480</v>
      </c>
    </row>
    <row r="75" spans="1:22" ht="45" x14ac:dyDescent="0.25">
      <c r="A75" s="152"/>
      <c r="B75" s="460" t="s">
        <v>2471</v>
      </c>
      <c r="C75" s="460" t="s">
        <v>2472</v>
      </c>
      <c r="D75" s="173" t="s">
        <v>2473</v>
      </c>
      <c r="E75" s="461" t="s">
        <v>2474</v>
      </c>
      <c r="F75" s="461"/>
      <c r="G75" s="461" t="s">
        <v>2475</v>
      </c>
      <c r="H75" s="461"/>
      <c r="I75" s="174">
        <v>273229.17</v>
      </c>
      <c r="J75" s="175" t="s">
        <v>2502</v>
      </c>
      <c r="K75" s="175" t="s">
        <v>2477</v>
      </c>
      <c r="L75" s="176" t="s">
        <v>2478</v>
      </c>
      <c r="O75" s="460" t="s">
        <v>2540</v>
      </c>
      <c r="P75" s="173" t="s">
        <v>2543</v>
      </c>
      <c r="Q75" s="461" t="s">
        <v>2474</v>
      </c>
      <c r="R75" s="461"/>
      <c r="S75" s="461" t="s">
        <v>2542</v>
      </c>
      <c r="T75" s="461"/>
      <c r="U75" s="190">
        <v>621.42999999999995</v>
      </c>
      <c r="V75" s="175" t="s">
        <v>2497</v>
      </c>
    </row>
    <row r="76" spans="1:22" ht="34.5" thickBot="1" x14ac:dyDescent="0.3">
      <c r="A76" s="152"/>
      <c r="B76" s="460"/>
      <c r="C76" s="460"/>
      <c r="D76" s="177" t="s">
        <v>2479</v>
      </c>
      <c r="E76" s="178"/>
      <c r="F76" s="179">
        <v>1</v>
      </c>
      <c r="G76" s="178"/>
      <c r="H76" s="180"/>
      <c r="I76" s="181"/>
      <c r="J76" s="182" t="s">
        <v>2480</v>
      </c>
      <c r="K76" s="182" t="s">
        <v>2481</v>
      </c>
      <c r="L76" s="181"/>
      <c r="O76" s="460"/>
      <c r="P76" s="183" t="s">
        <v>2479</v>
      </c>
      <c r="Q76" s="184"/>
      <c r="R76" s="185" t="s">
        <v>2506</v>
      </c>
      <c r="S76" s="184"/>
      <c r="T76" s="185"/>
      <c r="U76" s="187"/>
      <c r="V76" s="188" t="s">
        <v>2480</v>
      </c>
    </row>
    <row r="77" spans="1:22" ht="34.5" thickBot="1" x14ac:dyDescent="0.3">
      <c r="A77" s="152"/>
      <c r="B77" s="460"/>
      <c r="C77" s="460"/>
      <c r="D77" s="183" t="s">
        <v>2482</v>
      </c>
      <c r="E77" s="184"/>
      <c r="F77" s="185"/>
      <c r="G77" s="184" t="s">
        <v>2483</v>
      </c>
      <c r="H77" s="186">
        <v>3686</v>
      </c>
      <c r="I77" s="187"/>
      <c r="J77" s="188"/>
      <c r="K77" s="188"/>
      <c r="L77" s="187"/>
      <c r="O77" s="460" t="s">
        <v>2540</v>
      </c>
      <c r="P77" s="173" t="s">
        <v>2541</v>
      </c>
      <c r="Q77" s="461" t="s">
        <v>2474</v>
      </c>
      <c r="R77" s="461"/>
      <c r="S77" s="461" t="s">
        <v>2542</v>
      </c>
      <c r="T77" s="461"/>
      <c r="U77" s="174">
        <v>11155.35</v>
      </c>
      <c r="V77" s="175" t="s">
        <v>2498</v>
      </c>
    </row>
    <row r="78" spans="1:22" ht="34.5" thickBot="1" x14ac:dyDescent="0.3">
      <c r="A78" s="152"/>
      <c r="B78" s="460" t="s">
        <v>2503</v>
      </c>
      <c r="C78" s="460" t="s">
        <v>2504</v>
      </c>
      <c r="D78" s="173" t="s">
        <v>2505</v>
      </c>
      <c r="E78" s="461" t="s">
        <v>2474</v>
      </c>
      <c r="F78" s="461"/>
      <c r="G78" s="461" t="s">
        <v>2475</v>
      </c>
      <c r="H78" s="461"/>
      <c r="I78" s="174">
        <v>85351.02</v>
      </c>
      <c r="J78" s="175" t="s">
        <v>2476</v>
      </c>
      <c r="K78" s="175" t="s">
        <v>2477</v>
      </c>
      <c r="L78" s="176" t="s">
        <v>2478</v>
      </c>
      <c r="O78" s="460"/>
      <c r="P78" s="183" t="s">
        <v>2479</v>
      </c>
      <c r="Q78" s="184"/>
      <c r="R78" s="185" t="s">
        <v>2506</v>
      </c>
      <c r="S78" s="184"/>
      <c r="T78" s="185"/>
      <c r="U78" s="187"/>
      <c r="V78" s="188" t="s">
        <v>2480</v>
      </c>
    </row>
    <row r="79" spans="1:22" ht="33.75" x14ac:dyDescent="0.25">
      <c r="A79" s="152"/>
      <c r="B79" s="460"/>
      <c r="C79" s="460"/>
      <c r="D79" s="177" t="s">
        <v>2479</v>
      </c>
      <c r="E79" s="178"/>
      <c r="F79" s="180" t="s">
        <v>2506</v>
      </c>
      <c r="G79" s="178"/>
      <c r="H79" s="180"/>
      <c r="I79" s="181"/>
      <c r="J79" s="182" t="s">
        <v>2480</v>
      </c>
      <c r="K79" s="182" t="s">
        <v>2481</v>
      </c>
      <c r="L79" s="181"/>
      <c r="O79" s="460" t="s">
        <v>2540</v>
      </c>
      <c r="P79" s="173" t="s">
        <v>2543</v>
      </c>
      <c r="Q79" s="461" t="s">
        <v>2474</v>
      </c>
      <c r="R79" s="461"/>
      <c r="S79" s="461" t="s">
        <v>2542</v>
      </c>
      <c r="T79" s="461"/>
      <c r="U79" s="174">
        <v>2142.86</v>
      </c>
      <c r="V79" s="175" t="s">
        <v>2498</v>
      </c>
    </row>
    <row r="80" spans="1:22" ht="23.25" thickBot="1" x14ac:dyDescent="0.3">
      <c r="A80" s="152"/>
      <c r="B80" s="460"/>
      <c r="C80" s="460"/>
      <c r="D80" s="183" t="s">
        <v>2482</v>
      </c>
      <c r="E80" s="184"/>
      <c r="F80" s="185"/>
      <c r="G80" s="184" t="s">
        <v>2483</v>
      </c>
      <c r="H80" s="186">
        <v>1151.43</v>
      </c>
      <c r="I80" s="187"/>
      <c r="J80" s="188"/>
      <c r="K80" s="188"/>
      <c r="L80" s="187"/>
      <c r="O80" s="460"/>
      <c r="P80" s="183" t="s">
        <v>2479</v>
      </c>
      <c r="Q80" s="184"/>
      <c r="R80" s="185" t="s">
        <v>2506</v>
      </c>
      <c r="S80" s="184"/>
      <c r="T80" s="185"/>
      <c r="U80" s="187"/>
      <c r="V80" s="188" t="s">
        <v>2480</v>
      </c>
    </row>
    <row r="81" spans="1:22" ht="45" x14ac:dyDescent="0.25">
      <c r="A81" s="152"/>
      <c r="B81" s="460" t="s">
        <v>2503</v>
      </c>
      <c r="C81" s="460" t="s">
        <v>2504</v>
      </c>
      <c r="D81" s="173" t="s">
        <v>2505</v>
      </c>
      <c r="E81" s="461" t="s">
        <v>2474</v>
      </c>
      <c r="F81" s="461"/>
      <c r="G81" s="461" t="s">
        <v>2475</v>
      </c>
      <c r="H81" s="461"/>
      <c r="I81" s="174">
        <v>82961.2</v>
      </c>
      <c r="J81" s="175" t="s">
        <v>2484</v>
      </c>
      <c r="K81" s="175" t="s">
        <v>2477</v>
      </c>
      <c r="L81" s="176" t="s">
        <v>2478</v>
      </c>
      <c r="O81" s="460" t="s">
        <v>2540</v>
      </c>
      <c r="P81" s="173" t="s">
        <v>2541</v>
      </c>
      <c r="Q81" s="461" t="s">
        <v>2474</v>
      </c>
      <c r="R81" s="461"/>
      <c r="S81" s="461" t="s">
        <v>2542</v>
      </c>
      <c r="T81" s="461"/>
      <c r="U81" s="190">
        <v>114.53</v>
      </c>
      <c r="V81" s="175" t="s">
        <v>2499</v>
      </c>
    </row>
    <row r="82" spans="1:22" ht="34.5" thickBot="1" x14ac:dyDescent="0.3">
      <c r="A82" s="152"/>
      <c r="B82" s="460"/>
      <c r="C82" s="460"/>
      <c r="D82" s="177" t="s">
        <v>2479</v>
      </c>
      <c r="E82" s="178"/>
      <c r="F82" s="180" t="s">
        <v>2506</v>
      </c>
      <c r="G82" s="178"/>
      <c r="H82" s="180"/>
      <c r="I82" s="181"/>
      <c r="J82" s="182" t="s">
        <v>2480</v>
      </c>
      <c r="K82" s="182" t="s">
        <v>2481</v>
      </c>
      <c r="L82" s="181"/>
      <c r="O82" s="460"/>
      <c r="P82" s="183" t="s">
        <v>2479</v>
      </c>
      <c r="Q82" s="184"/>
      <c r="R82" s="185" t="s">
        <v>2506</v>
      </c>
      <c r="S82" s="184"/>
      <c r="T82" s="185"/>
      <c r="U82" s="187"/>
      <c r="V82" s="188" t="s">
        <v>2480</v>
      </c>
    </row>
    <row r="83" spans="1:22" ht="45.75" thickBot="1" x14ac:dyDescent="0.3">
      <c r="A83" s="152"/>
      <c r="B83" s="460"/>
      <c r="C83" s="460"/>
      <c r="D83" s="183" t="s">
        <v>2482</v>
      </c>
      <c r="E83" s="184"/>
      <c r="F83" s="185"/>
      <c r="G83" s="184" t="s">
        <v>2483</v>
      </c>
      <c r="H83" s="186">
        <v>1119.19</v>
      </c>
      <c r="I83" s="187"/>
      <c r="J83" s="188"/>
      <c r="K83" s="188"/>
      <c r="L83" s="187"/>
      <c r="O83" s="460" t="s">
        <v>2540</v>
      </c>
      <c r="P83" s="173" t="s">
        <v>2543</v>
      </c>
      <c r="Q83" s="461" t="s">
        <v>2474</v>
      </c>
      <c r="R83" s="461"/>
      <c r="S83" s="461" t="s">
        <v>2542</v>
      </c>
      <c r="T83" s="461"/>
      <c r="U83" s="190">
        <v>22</v>
      </c>
      <c r="V83" s="175" t="s">
        <v>2499</v>
      </c>
    </row>
    <row r="84" spans="1:22" ht="34.5" thickBot="1" x14ac:dyDescent="0.3">
      <c r="A84" s="152"/>
      <c r="B84" s="460" t="s">
        <v>2503</v>
      </c>
      <c r="C84" s="460" t="s">
        <v>2504</v>
      </c>
      <c r="D84" s="173" t="s">
        <v>2505</v>
      </c>
      <c r="E84" s="461" t="s">
        <v>2474</v>
      </c>
      <c r="F84" s="461"/>
      <c r="G84" s="461" t="s">
        <v>2475</v>
      </c>
      <c r="H84" s="461"/>
      <c r="I84" s="174">
        <v>18777.22</v>
      </c>
      <c r="J84" s="175" t="s">
        <v>2485</v>
      </c>
      <c r="K84" s="175" t="s">
        <v>2477</v>
      </c>
      <c r="L84" s="176" t="s">
        <v>2478</v>
      </c>
      <c r="O84" s="460"/>
      <c r="P84" s="183" t="s">
        <v>2479</v>
      </c>
      <c r="Q84" s="184"/>
      <c r="R84" s="185" t="s">
        <v>2506</v>
      </c>
      <c r="S84" s="184"/>
      <c r="T84" s="185"/>
      <c r="U84" s="187"/>
      <c r="V84" s="188" t="s">
        <v>2480</v>
      </c>
    </row>
    <row r="85" spans="1:22" ht="33.75" x14ac:dyDescent="0.25">
      <c r="A85" s="152"/>
      <c r="B85" s="460"/>
      <c r="C85" s="460"/>
      <c r="D85" s="177" t="s">
        <v>2479</v>
      </c>
      <c r="E85" s="178"/>
      <c r="F85" s="180" t="s">
        <v>2506</v>
      </c>
      <c r="G85" s="178"/>
      <c r="H85" s="180"/>
      <c r="I85" s="181"/>
      <c r="J85" s="182" t="s">
        <v>2480</v>
      </c>
      <c r="K85" s="182" t="s">
        <v>2481</v>
      </c>
      <c r="L85" s="181"/>
      <c r="O85" s="460" t="s">
        <v>2540</v>
      </c>
      <c r="P85" s="173" t="s">
        <v>2541</v>
      </c>
      <c r="Q85" s="461" t="s">
        <v>2474</v>
      </c>
      <c r="R85" s="461"/>
      <c r="S85" s="461" t="s">
        <v>2542</v>
      </c>
      <c r="T85" s="461"/>
      <c r="U85" s="190">
        <v>55.78</v>
      </c>
      <c r="V85" s="175" t="s">
        <v>2500</v>
      </c>
    </row>
    <row r="86" spans="1:22" ht="23.25" thickBot="1" x14ac:dyDescent="0.3">
      <c r="A86" s="152"/>
      <c r="B86" s="460"/>
      <c r="C86" s="460"/>
      <c r="D86" s="183" t="s">
        <v>2482</v>
      </c>
      <c r="E86" s="184"/>
      <c r="F86" s="185"/>
      <c r="G86" s="184" t="s">
        <v>2483</v>
      </c>
      <c r="H86" s="189">
        <v>253.31</v>
      </c>
      <c r="I86" s="187"/>
      <c r="J86" s="188"/>
      <c r="K86" s="188"/>
      <c r="L86" s="187"/>
      <c r="O86" s="460"/>
      <c r="P86" s="183" t="s">
        <v>2479</v>
      </c>
      <c r="Q86" s="184"/>
      <c r="R86" s="185" t="s">
        <v>2506</v>
      </c>
      <c r="S86" s="184"/>
      <c r="T86" s="185"/>
      <c r="U86" s="187"/>
      <c r="V86" s="188" t="s">
        <v>2480</v>
      </c>
    </row>
    <row r="87" spans="1:22" ht="33.75" x14ac:dyDescent="0.25">
      <c r="A87" s="152"/>
      <c r="B87" s="460" t="s">
        <v>2503</v>
      </c>
      <c r="C87" s="460" t="s">
        <v>2504</v>
      </c>
      <c r="D87" s="173" t="s">
        <v>2505</v>
      </c>
      <c r="E87" s="461" t="s">
        <v>2474</v>
      </c>
      <c r="F87" s="461"/>
      <c r="G87" s="461" t="s">
        <v>2475</v>
      </c>
      <c r="H87" s="461"/>
      <c r="I87" s="174">
        <v>29872.86</v>
      </c>
      <c r="J87" s="175" t="s">
        <v>2486</v>
      </c>
      <c r="K87" s="175" t="s">
        <v>2477</v>
      </c>
      <c r="L87" s="176" t="s">
        <v>2478</v>
      </c>
      <c r="O87" s="460" t="s">
        <v>2540</v>
      </c>
      <c r="P87" s="173" t="s">
        <v>2543</v>
      </c>
      <c r="Q87" s="461" t="s">
        <v>2474</v>
      </c>
      <c r="R87" s="461"/>
      <c r="S87" s="461" t="s">
        <v>2542</v>
      </c>
      <c r="T87" s="461"/>
      <c r="U87" s="190">
        <v>10.72</v>
      </c>
      <c r="V87" s="175" t="s">
        <v>2500</v>
      </c>
    </row>
    <row r="88" spans="1:22" ht="34.5" thickBot="1" x14ac:dyDescent="0.3">
      <c r="A88" s="152"/>
      <c r="B88" s="460"/>
      <c r="C88" s="460"/>
      <c r="D88" s="177" t="s">
        <v>2479</v>
      </c>
      <c r="E88" s="178"/>
      <c r="F88" s="180" t="s">
        <v>2506</v>
      </c>
      <c r="G88" s="178"/>
      <c r="H88" s="180"/>
      <c r="I88" s="181"/>
      <c r="J88" s="182" t="s">
        <v>2480</v>
      </c>
      <c r="K88" s="182" t="s">
        <v>2481</v>
      </c>
      <c r="L88" s="181"/>
      <c r="O88" s="460"/>
      <c r="P88" s="183" t="s">
        <v>2479</v>
      </c>
      <c r="Q88" s="184"/>
      <c r="R88" s="185" t="s">
        <v>2506</v>
      </c>
      <c r="S88" s="184"/>
      <c r="T88" s="185"/>
      <c r="U88" s="187"/>
      <c r="V88" s="188" t="s">
        <v>2480</v>
      </c>
    </row>
    <row r="89" spans="1:22" ht="34.5" thickBot="1" x14ac:dyDescent="0.3">
      <c r="A89" s="152"/>
      <c r="B89" s="460"/>
      <c r="C89" s="460"/>
      <c r="D89" s="183" t="s">
        <v>2482</v>
      </c>
      <c r="E89" s="184"/>
      <c r="F89" s="185"/>
      <c r="G89" s="184" t="s">
        <v>2483</v>
      </c>
      <c r="H89" s="189">
        <v>403</v>
      </c>
      <c r="I89" s="187"/>
      <c r="J89" s="188"/>
      <c r="K89" s="188"/>
      <c r="L89" s="187"/>
      <c r="O89" s="460" t="s">
        <v>2540</v>
      </c>
      <c r="P89" s="173" t="s">
        <v>2541</v>
      </c>
      <c r="Q89" s="461" t="s">
        <v>2474</v>
      </c>
      <c r="R89" s="461"/>
      <c r="S89" s="461" t="s">
        <v>2542</v>
      </c>
      <c r="T89" s="461"/>
      <c r="U89" s="190">
        <v>548.84</v>
      </c>
      <c r="V89" s="175" t="s">
        <v>2501</v>
      </c>
    </row>
    <row r="90" spans="1:22" ht="34.5" thickBot="1" x14ac:dyDescent="0.3">
      <c r="A90" s="152"/>
      <c r="B90" s="460" t="s">
        <v>2503</v>
      </c>
      <c r="C90" s="460" t="s">
        <v>2504</v>
      </c>
      <c r="D90" s="173" t="s">
        <v>2505</v>
      </c>
      <c r="E90" s="461" t="s">
        <v>2474</v>
      </c>
      <c r="F90" s="461"/>
      <c r="G90" s="461" t="s">
        <v>2475</v>
      </c>
      <c r="H90" s="461"/>
      <c r="I90" s="174">
        <v>122336.47</v>
      </c>
      <c r="J90" s="175" t="s">
        <v>2487</v>
      </c>
      <c r="K90" s="175" t="s">
        <v>2477</v>
      </c>
      <c r="L90" s="176" t="s">
        <v>2478</v>
      </c>
      <c r="O90" s="460"/>
      <c r="P90" s="183" t="s">
        <v>2479</v>
      </c>
      <c r="Q90" s="184"/>
      <c r="R90" s="185" t="s">
        <v>2506</v>
      </c>
      <c r="S90" s="184"/>
      <c r="T90" s="185"/>
      <c r="U90" s="187"/>
      <c r="V90" s="188" t="s">
        <v>2480</v>
      </c>
    </row>
    <row r="91" spans="1:22" ht="33.75" x14ac:dyDescent="0.25">
      <c r="A91" s="152"/>
      <c r="B91" s="460"/>
      <c r="C91" s="460"/>
      <c r="D91" s="177" t="s">
        <v>2479</v>
      </c>
      <c r="E91" s="178"/>
      <c r="F91" s="180" t="s">
        <v>2506</v>
      </c>
      <c r="G91" s="178"/>
      <c r="H91" s="180"/>
      <c r="I91" s="181"/>
      <c r="J91" s="182" t="s">
        <v>2480</v>
      </c>
      <c r="K91" s="182" t="s">
        <v>2481</v>
      </c>
      <c r="L91" s="181"/>
      <c r="O91" s="460" t="s">
        <v>2540</v>
      </c>
      <c r="P91" s="173" t="s">
        <v>2543</v>
      </c>
      <c r="Q91" s="461" t="s">
        <v>2474</v>
      </c>
      <c r="R91" s="461"/>
      <c r="S91" s="461" t="s">
        <v>2542</v>
      </c>
      <c r="T91" s="461"/>
      <c r="U91" s="190">
        <v>105.43</v>
      </c>
      <c r="V91" s="175" t="s">
        <v>2501</v>
      </c>
    </row>
    <row r="92" spans="1:22" ht="23.25" thickBot="1" x14ac:dyDescent="0.3">
      <c r="A92" s="152"/>
      <c r="B92" s="460"/>
      <c r="C92" s="460"/>
      <c r="D92" s="183" t="s">
        <v>2482</v>
      </c>
      <c r="E92" s="184"/>
      <c r="F92" s="185"/>
      <c r="G92" s="184" t="s">
        <v>2483</v>
      </c>
      <c r="H92" s="186">
        <v>1650.38</v>
      </c>
      <c r="I92" s="187"/>
      <c r="J92" s="188"/>
      <c r="K92" s="188"/>
      <c r="L92" s="187"/>
      <c r="O92" s="460"/>
      <c r="P92" s="183" t="s">
        <v>2479</v>
      </c>
      <c r="Q92" s="184"/>
      <c r="R92" s="185" t="s">
        <v>2506</v>
      </c>
      <c r="S92" s="184"/>
      <c r="T92" s="185"/>
      <c r="U92" s="187"/>
      <c r="V92" s="188" t="s">
        <v>2480</v>
      </c>
    </row>
    <row r="93" spans="1:22" ht="33.75" x14ac:dyDescent="0.25">
      <c r="A93" s="152"/>
      <c r="B93" s="460" t="s">
        <v>2503</v>
      </c>
      <c r="C93" s="460" t="s">
        <v>2504</v>
      </c>
      <c r="D93" s="173" t="s">
        <v>2505</v>
      </c>
      <c r="E93" s="461" t="s">
        <v>2474</v>
      </c>
      <c r="F93" s="461"/>
      <c r="G93" s="461" t="s">
        <v>2475</v>
      </c>
      <c r="H93" s="461"/>
      <c r="I93" s="174">
        <v>82505.990000000005</v>
      </c>
      <c r="J93" s="175" t="s">
        <v>2488</v>
      </c>
      <c r="K93" s="175" t="s">
        <v>2477</v>
      </c>
      <c r="L93" s="176" t="s">
        <v>2478</v>
      </c>
      <c r="O93" s="460" t="s">
        <v>2540</v>
      </c>
      <c r="P93" s="173" t="s">
        <v>2541</v>
      </c>
      <c r="Q93" s="461" t="s">
        <v>2474</v>
      </c>
      <c r="R93" s="461"/>
      <c r="S93" s="461" t="s">
        <v>2542</v>
      </c>
      <c r="T93" s="461"/>
      <c r="U93" s="174">
        <v>1370.61</v>
      </c>
      <c r="V93" s="175" t="s">
        <v>2502</v>
      </c>
    </row>
    <row r="94" spans="1:22" ht="34.5" thickBot="1" x14ac:dyDescent="0.3">
      <c r="A94" s="152"/>
      <c r="B94" s="460"/>
      <c r="C94" s="460"/>
      <c r="D94" s="177" t="s">
        <v>2479</v>
      </c>
      <c r="E94" s="178"/>
      <c r="F94" s="180" t="s">
        <v>2506</v>
      </c>
      <c r="G94" s="178"/>
      <c r="H94" s="180"/>
      <c r="I94" s="181"/>
      <c r="J94" s="182" t="s">
        <v>2480</v>
      </c>
      <c r="K94" s="182" t="s">
        <v>2481</v>
      </c>
      <c r="L94" s="181"/>
      <c r="O94" s="460"/>
      <c r="P94" s="183" t="s">
        <v>2479</v>
      </c>
      <c r="Q94" s="184"/>
      <c r="R94" s="185" t="s">
        <v>2506</v>
      </c>
      <c r="S94" s="184"/>
      <c r="T94" s="185"/>
      <c r="U94" s="187"/>
      <c r="V94" s="188" t="s">
        <v>2480</v>
      </c>
    </row>
    <row r="95" spans="1:22" ht="34.5" thickBot="1" x14ac:dyDescent="0.3">
      <c r="A95" s="152"/>
      <c r="B95" s="460"/>
      <c r="C95" s="460"/>
      <c r="D95" s="183" t="s">
        <v>2482</v>
      </c>
      <c r="E95" s="184"/>
      <c r="F95" s="185"/>
      <c r="G95" s="184" t="s">
        <v>2483</v>
      </c>
      <c r="H95" s="186">
        <v>1113.05</v>
      </c>
      <c r="I95" s="187"/>
      <c r="J95" s="188"/>
      <c r="K95" s="188"/>
      <c r="L95" s="187"/>
      <c r="O95" s="460" t="s">
        <v>2540</v>
      </c>
      <c r="P95" s="173" t="s">
        <v>2543</v>
      </c>
      <c r="Q95" s="461" t="s">
        <v>2474</v>
      </c>
      <c r="R95" s="461"/>
      <c r="S95" s="461" t="s">
        <v>2542</v>
      </c>
      <c r="T95" s="461"/>
      <c r="U95" s="190">
        <v>263.27999999999997</v>
      </c>
      <c r="V95" s="175" t="s">
        <v>2502</v>
      </c>
    </row>
    <row r="96" spans="1:22" ht="34.5" thickBot="1" x14ac:dyDescent="0.3">
      <c r="A96" s="152"/>
      <c r="B96" s="460" t="s">
        <v>2503</v>
      </c>
      <c r="C96" s="460" t="s">
        <v>2504</v>
      </c>
      <c r="D96" s="173" t="s">
        <v>2505</v>
      </c>
      <c r="E96" s="461" t="s">
        <v>2474</v>
      </c>
      <c r="F96" s="461"/>
      <c r="G96" s="461" t="s">
        <v>2475</v>
      </c>
      <c r="H96" s="461"/>
      <c r="I96" s="174">
        <v>21451.56</v>
      </c>
      <c r="J96" s="175" t="s">
        <v>2489</v>
      </c>
      <c r="K96" s="175" t="s">
        <v>2477</v>
      </c>
      <c r="L96" s="176" t="s">
        <v>2478</v>
      </c>
      <c r="O96" s="460"/>
      <c r="P96" s="183" t="s">
        <v>2479</v>
      </c>
      <c r="Q96" s="184"/>
      <c r="R96" s="185" t="s">
        <v>2506</v>
      </c>
      <c r="S96" s="184"/>
      <c r="T96" s="185"/>
      <c r="U96" s="187"/>
      <c r="V96" s="188" t="s">
        <v>2480</v>
      </c>
    </row>
    <row r="97" spans="1:22" ht="45" x14ac:dyDescent="0.25">
      <c r="A97" s="152"/>
      <c r="B97" s="460"/>
      <c r="C97" s="460"/>
      <c r="D97" s="177" t="s">
        <v>2479</v>
      </c>
      <c r="E97" s="178"/>
      <c r="F97" s="180" t="s">
        <v>2506</v>
      </c>
      <c r="G97" s="178"/>
      <c r="H97" s="180"/>
      <c r="I97" s="181"/>
      <c r="J97" s="182" t="s">
        <v>2480</v>
      </c>
      <c r="K97" s="182" t="s">
        <v>2481</v>
      </c>
      <c r="L97" s="181"/>
      <c r="O97" s="460" t="s">
        <v>2544</v>
      </c>
      <c r="P97" s="173" t="s">
        <v>2543</v>
      </c>
      <c r="Q97" s="461" t="s">
        <v>2474</v>
      </c>
      <c r="R97" s="461"/>
      <c r="S97" s="461" t="s">
        <v>2542</v>
      </c>
      <c r="T97" s="461"/>
      <c r="U97" s="174">
        <v>5625</v>
      </c>
      <c r="V97" s="175" t="s">
        <v>2545</v>
      </c>
    </row>
    <row r="98" spans="1:22" ht="23.25" thickBot="1" x14ac:dyDescent="0.3">
      <c r="A98" s="152"/>
      <c r="B98" s="460"/>
      <c r="C98" s="460"/>
      <c r="D98" s="183" t="s">
        <v>2482</v>
      </c>
      <c r="E98" s="184"/>
      <c r="F98" s="185"/>
      <c r="G98" s="184" t="s">
        <v>2483</v>
      </c>
      <c r="H98" s="189">
        <v>289.39</v>
      </c>
      <c r="I98" s="187"/>
      <c r="J98" s="188"/>
      <c r="K98" s="188"/>
      <c r="L98" s="187"/>
      <c r="O98" s="460"/>
      <c r="P98" s="183" t="s">
        <v>2479</v>
      </c>
      <c r="Q98" s="184"/>
      <c r="R98" s="185" t="s">
        <v>2506</v>
      </c>
      <c r="S98" s="184"/>
      <c r="T98" s="185"/>
      <c r="U98" s="187"/>
      <c r="V98" s="188" t="s">
        <v>2480</v>
      </c>
    </row>
    <row r="99" spans="1:22" ht="33.75" x14ac:dyDescent="0.25">
      <c r="A99" s="152"/>
      <c r="B99" s="460" t="s">
        <v>2503</v>
      </c>
      <c r="C99" s="460" t="s">
        <v>2504</v>
      </c>
      <c r="D99" s="173" t="s">
        <v>2505</v>
      </c>
      <c r="E99" s="461" t="s">
        <v>2474</v>
      </c>
      <c r="F99" s="461"/>
      <c r="G99" s="461" t="s">
        <v>2475</v>
      </c>
      <c r="H99" s="461"/>
      <c r="I99" s="174">
        <v>31522.98</v>
      </c>
      <c r="J99" s="175" t="s">
        <v>2490</v>
      </c>
      <c r="K99" s="175" t="s">
        <v>2477</v>
      </c>
      <c r="L99" s="176" t="s">
        <v>2478</v>
      </c>
      <c r="O99" s="460" t="s">
        <v>2546</v>
      </c>
      <c r="P99" s="173" t="s">
        <v>2543</v>
      </c>
      <c r="Q99" s="461" t="s">
        <v>2474</v>
      </c>
      <c r="R99" s="461"/>
      <c r="S99" s="461" t="s">
        <v>2542</v>
      </c>
      <c r="T99" s="461"/>
      <c r="U99" s="174">
        <v>19565.22</v>
      </c>
      <c r="V99" s="175" t="s">
        <v>2510</v>
      </c>
    </row>
    <row r="100" spans="1:22" ht="34.5" thickBot="1" x14ac:dyDescent="0.3">
      <c r="A100" s="152"/>
      <c r="B100" s="460"/>
      <c r="C100" s="460"/>
      <c r="D100" s="177" t="s">
        <v>2479</v>
      </c>
      <c r="E100" s="178"/>
      <c r="F100" s="180" t="s">
        <v>2506</v>
      </c>
      <c r="G100" s="178"/>
      <c r="H100" s="180"/>
      <c r="I100" s="181"/>
      <c r="J100" s="182" t="s">
        <v>2480</v>
      </c>
      <c r="K100" s="182" t="s">
        <v>2481</v>
      </c>
      <c r="L100" s="181"/>
      <c r="O100" s="460"/>
      <c r="P100" s="183" t="s">
        <v>2479</v>
      </c>
      <c r="Q100" s="184"/>
      <c r="R100" s="185" t="s">
        <v>2506</v>
      </c>
      <c r="S100" s="184"/>
      <c r="T100" s="185"/>
      <c r="U100" s="187"/>
      <c r="V100" s="188" t="s">
        <v>2480</v>
      </c>
    </row>
    <row r="101" spans="1:22" ht="34.5" thickBot="1" x14ac:dyDescent="0.3">
      <c r="A101" s="152"/>
      <c r="B101" s="460"/>
      <c r="C101" s="460"/>
      <c r="D101" s="183" t="s">
        <v>2482</v>
      </c>
      <c r="E101" s="184"/>
      <c r="F101" s="185"/>
      <c r="G101" s="184" t="s">
        <v>2483</v>
      </c>
      <c r="H101" s="189">
        <v>425.26</v>
      </c>
      <c r="I101" s="187"/>
      <c r="J101" s="188"/>
      <c r="K101" s="188"/>
      <c r="L101" s="187"/>
      <c r="O101" s="460" t="s">
        <v>2546</v>
      </c>
      <c r="P101" s="173" t="s">
        <v>2543</v>
      </c>
      <c r="Q101" s="461" t="s">
        <v>2474</v>
      </c>
      <c r="R101" s="461"/>
      <c r="S101" s="461" t="s">
        <v>2542</v>
      </c>
      <c r="T101" s="461"/>
      <c r="U101" s="174">
        <v>2934.78</v>
      </c>
      <c r="V101" s="175" t="s">
        <v>2511</v>
      </c>
    </row>
    <row r="102" spans="1:22" ht="34.5" thickBot="1" x14ac:dyDescent="0.3">
      <c r="A102" s="152"/>
      <c r="B102" s="460" t="s">
        <v>2503</v>
      </c>
      <c r="C102" s="460" t="s">
        <v>2504</v>
      </c>
      <c r="D102" s="173" t="s">
        <v>2505</v>
      </c>
      <c r="E102" s="461" t="s">
        <v>2474</v>
      </c>
      <c r="F102" s="461"/>
      <c r="G102" s="461" t="s">
        <v>2475</v>
      </c>
      <c r="H102" s="461"/>
      <c r="I102" s="174">
        <v>56900.68</v>
      </c>
      <c r="J102" s="175" t="s">
        <v>2491</v>
      </c>
      <c r="K102" s="175" t="s">
        <v>2477</v>
      </c>
      <c r="L102" s="176" t="s">
        <v>2478</v>
      </c>
      <c r="O102" s="460"/>
      <c r="P102" s="183" t="s">
        <v>2479</v>
      </c>
      <c r="Q102" s="184"/>
      <c r="R102" s="185" t="s">
        <v>2506</v>
      </c>
      <c r="S102" s="184"/>
      <c r="T102" s="185"/>
      <c r="U102" s="187"/>
      <c r="V102" s="188" t="s">
        <v>2480</v>
      </c>
    </row>
    <row r="103" spans="1:22" ht="33.75" x14ac:dyDescent="0.25">
      <c r="A103" s="152"/>
      <c r="B103" s="460"/>
      <c r="C103" s="460"/>
      <c r="D103" s="177" t="s">
        <v>2479</v>
      </c>
      <c r="E103" s="178"/>
      <c r="F103" s="180" t="s">
        <v>2506</v>
      </c>
      <c r="G103" s="178"/>
      <c r="H103" s="180"/>
      <c r="I103" s="181"/>
      <c r="J103" s="182" t="s">
        <v>2480</v>
      </c>
      <c r="K103" s="182" t="s">
        <v>2481</v>
      </c>
      <c r="L103" s="181"/>
      <c r="U103" s="198">
        <f>SUM(U17:U101)-U97</f>
        <v>162131.13999999996</v>
      </c>
    </row>
    <row r="104" spans="1:22" ht="15.75" thickBot="1" x14ac:dyDescent="0.3">
      <c r="A104" s="152"/>
      <c r="B104" s="460"/>
      <c r="C104" s="460"/>
      <c r="D104" s="183" t="s">
        <v>2482</v>
      </c>
      <c r="E104" s="184"/>
      <c r="F104" s="185"/>
      <c r="G104" s="184" t="s">
        <v>2483</v>
      </c>
      <c r="H104" s="189">
        <v>767.62</v>
      </c>
      <c r="I104" s="187"/>
      <c r="J104" s="188"/>
      <c r="K104" s="188"/>
      <c r="L104" s="187"/>
    </row>
    <row r="105" spans="1:22" ht="33.75" x14ac:dyDescent="0.25">
      <c r="A105" s="152"/>
      <c r="B105" s="460" t="s">
        <v>2503</v>
      </c>
      <c r="C105" s="460" t="s">
        <v>2504</v>
      </c>
      <c r="D105" s="173" t="s">
        <v>2505</v>
      </c>
      <c r="E105" s="461" t="s">
        <v>2474</v>
      </c>
      <c r="F105" s="461"/>
      <c r="G105" s="461" t="s">
        <v>2475</v>
      </c>
      <c r="H105" s="461"/>
      <c r="I105" s="174">
        <v>144527.74</v>
      </c>
      <c r="J105" s="175" t="s">
        <v>2492</v>
      </c>
      <c r="K105" s="175" t="s">
        <v>2477</v>
      </c>
      <c r="L105" s="176" t="s">
        <v>2478</v>
      </c>
    </row>
    <row r="106" spans="1:22" ht="33.75" x14ac:dyDescent="0.25">
      <c r="A106" s="152"/>
      <c r="B106" s="460"/>
      <c r="C106" s="460"/>
      <c r="D106" s="177" t="s">
        <v>2479</v>
      </c>
      <c r="E106" s="178"/>
      <c r="F106" s="180" t="s">
        <v>2506</v>
      </c>
      <c r="G106" s="178"/>
      <c r="H106" s="180"/>
      <c r="I106" s="181"/>
      <c r="J106" s="182" t="s">
        <v>2480</v>
      </c>
      <c r="K106" s="182" t="s">
        <v>2481</v>
      </c>
      <c r="L106" s="181"/>
    </row>
    <row r="107" spans="1:22" ht="15.75" thickBot="1" x14ac:dyDescent="0.3">
      <c r="A107" s="152"/>
      <c r="B107" s="460"/>
      <c r="C107" s="460"/>
      <c r="D107" s="183" t="s">
        <v>2482</v>
      </c>
      <c r="E107" s="184"/>
      <c r="F107" s="185"/>
      <c r="G107" s="184" t="s">
        <v>2483</v>
      </c>
      <c r="H107" s="186">
        <v>1949.75</v>
      </c>
      <c r="I107" s="187"/>
      <c r="J107" s="188"/>
      <c r="K107" s="188"/>
      <c r="L107" s="187"/>
    </row>
    <row r="108" spans="1:22" ht="33.75" x14ac:dyDescent="0.25">
      <c r="A108" s="152"/>
      <c r="B108" s="460" t="s">
        <v>2503</v>
      </c>
      <c r="C108" s="460" t="s">
        <v>2504</v>
      </c>
      <c r="D108" s="173" t="s">
        <v>2505</v>
      </c>
      <c r="E108" s="461" t="s">
        <v>2474</v>
      </c>
      <c r="F108" s="461"/>
      <c r="G108" s="461" t="s">
        <v>2475</v>
      </c>
      <c r="H108" s="461"/>
      <c r="I108" s="174">
        <v>12802.65</v>
      </c>
      <c r="J108" s="175" t="s">
        <v>2493</v>
      </c>
      <c r="K108" s="175" t="s">
        <v>2477</v>
      </c>
      <c r="L108" s="176" t="s">
        <v>2478</v>
      </c>
    </row>
    <row r="109" spans="1:22" ht="33.75" x14ac:dyDescent="0.25">
      <c r="A109" s="152"/>
      <c r="B109" s="460"/>
      <c r="C109" s="460"/>
      <c r="D109" s="177" t="s">
        <v>2479</v>
      </c>
      <c r="E109" s="178"/>
      <c r="F109" s="180" t="s">
        <v>2506</v>
      </c>
      <c r="G109" s="178"/>
      <c r="H109" s="180"/>
      <c r="I109" s="181"/>
      <c r="J109" s="182" t="s">
        <v>2480</v>
      </c>
      <c r="K109" s="182" t="s">
        <v>2481</v>
      </c>
      <c r="L109" s="181"/>
    </row>
    <row r="110" spans="1:22" ht="15.75" thickBot="1" x14ac:dyDescent="0.3">
      <c r="A110" s="152"/>
      <c r="B110" s="460"/>
      <c r="C110" s="460"/>
      <c r="D110" s="183" t="s">
        <v>2482</v>
      </c>
      <c r="E110" s="184"/>
      <c r="F110" s="185"/>
      <c r="G110" s="184" t="s">
        <v>2483</v>
      </c>
      <c r="H110" s="189">
        <v>172.71</v>
      </c>
      <c r="I110" s="187"/>
      <c r="J110" s="188"/>
      <c r="K110" s="188"/>
      <c r="L110" s="187"/>
    </row>
    <row r="111" spans="1:22" ht="33.75" x14ac:dyDescent="0.25">
      <c r="A111" s="152"/>
      <c r="B111" s="460" t="s">
        <v>2503</v>
      </c>
      <c r="C111" s="460" t="s">
        <v>2504</v>
      </c>
      <c r="D111" s="173" t="s">
        <v>2505</v>
      </c>
      <c r="E111" s="461" t="s">
        <v>2474</v>
      </c>
      <c r="F111" s="461"/>
      <c r="G111" s="461" t="s">
        <v>2475</v>
      </c>
      <c r="H111" s="461"/>
      <c r="I111" s="174">
        <v>55478.17</v>
      </c>
      <c r="J111" s="175" t="s">
        <v>2494</v>
      </c>
      <c r="K111" s="175" t="s">
        <v>2477</v>
      </c>
      <c r="L111" s="176" t="s">
        <v>2478</v>
      </c>
    </row>
    <row r="112" spans="1:22" ht="33.75" x14ac:dyDescent="0.25">
      <c r="A112" s="152"/>
      <c r="B112" s="460"/>
      <c r="C112" s="460"/>
      <c r="D112" s="177" t="s">
        <v>2479</v>
      </c>
      <c r="E112" s="178"/>
      <c r="F112" s="180" t="s">
        <v>2506</v>
      </c>
      <c r="G112" s="178"/>
      <c r="H112" s="180"/>
      <c r="I112" s="181"/>
      <c r="J112" s="182" t="s">
        <v>2480</v>
      </c>
      <c r="K112" s="182" t="s">
        <v>2481</v>
      </c>
      <c r="L112" s="181"/>
    </row>
    <row r="113" spans="1:12" ht="15.75" thickBot="1" x14ac:dyDescent="0.3">
      <c r="A113" s="152"/>
      <c r="B113" s="460"/>
      <c r="C113" s="460"/>
      <c r="D113" s="183" t="s">
        <v>2482</v>
      </c>
      <c r="E113" s="184"/>
      <c r="F113" s="185"/>
      <c r="G113" s="184" t="s">
        <v>2483</v>
      </c>
      <c r="H113" s="189">
        <v>748.43</v>
      </c>
      <c r="I113" s="187"/>
      <c r="J113" s="188"/>
      <c r="K113" s="188"/>
      <c r="L113" s="187"/>
    </row>
    <row r="114" spans="1:12" ht="33.75" x14ac:dyDescent="0.25">
      <c r="A114" s="152"/>
      <c r="B114" s="460" t="s">
        <v>2503</v>
      </c>
      <c r="C114" s="460" t="s">
        <v>2504</v>
      </c>
      <c r="D114" s="173" t="s">
        <v>2505</v>
      </c>
      <c r="E114" s="461" t="s">
        <v>2474</v>
      </c>
      <c r="F114" s="461"/>
      <c r="G114" s="461" t="s">
        <v>2475</v>
      </c>
      <c r="H114" s="461"/>
      <c r="I114" s="174">
        <v>18777.22</v>
      </c>
      <c r="J114" s="175" t="s">
        <v>2495</v>
      </c>
      <c r="K114" s="175" t="s">
        <v>2477</v>
      </c>
      <c r="L114" s="176" t="s">
        <v>2478</v>
      </c>
    </row>
    <row r="115" spans="1:12" ht="33.75" x14ac:dyDescent="0.25">
      <c r="A115" s="152"/>
      <c r="B115" s="460"/>
      <c r="C115" s="460"/>
      <c r="D115" s="177" t="s">
        <v>2479</v>
      </c>
      <c r="E115" s="178"/>
      <c r="F115" s="180" t="s">
        <v>2506</v>
      </c>
      <c r="G115" s="178"/>
      <c r="H115" s="180"/>
      <c r="I115" s="181"/>
      <c r="J115" s="182" t="s">
        <v>2480</v>
      </c>
      <c r="K115" s="182" t="s">
        <v>2481</v>
      </c>
      <c r="L115" s="181"/>
    </row>
    <row r="116" spans="1:12" ht="15.75" thickBot="1" x14ac:dyDescent="0.3">
      <c r="A116" s="152"/>
      <c r="B116" s="460"/>
      <c r="C116" s="460"/>
      <c r="D116" s="183" t="s">
        <v>2482</v>
      </c>
      <c r="E116" s="184"/>
      <c r="F116" s="185"/>
      <c r="G116" s="184" t="s">
        <v>2483</v>
      </c>
      <c r="H116" s="189">
        <v>253.32</v>
      </c>
      <c r="I116" s="187"/>
      <c r="J116" s="188"/>
      <c r="K116" s="188"/>
      <c r="L116" s="187"/>
    </row>
    <row r="117" spans="1:12" ht="33.75" x14ac:dyDescent="0.25">
      <c r="A117" s="152"/>
      <c r="B117" s="460" t="s">
        <v>2503</v>
      </c>
      <c r="C117" s="460" t="s">
        <v>2504</v>
      </c>
      <c r="D117" s="173" t="s">
        <v>2505</v>
      </c>
      <c r="E117" s="461" t="s">
        <v>2474</v>
      </c>
      <c r="F117" s="461"/>
      <c r="G117" s="461" t="s">
        <v>2475</v>
      </c>
      <c r="H117" s="461"/>
      <c r="I117" s="174">
        <v>6828.08</v>
      </c>
      <c r="J117" s="175" t="s">
        <v>2496</v>
      </c>
      <c r="K117" s="175" t="s">
        <v>2477</v>
      </c>
      <c r="L117" s="176" t="s">
        <v>2478</v>
      </c>
    </row>
    <row r="118" spans="1:12" ht="33.75" x14ac:dyDescent="0.25">
      <c r="A118" s="152"/>
      <c r="B118" s="460"/>
      <c r="C118" s="460"/>
      <c r="D118" s="177" t="s">
        <v>2479</v>
      </c>
      <c r="E118" s="178"/>
      <c r="F118" s="180" t="s">
        <v>2506</v>
      </c>
      <c r="G118" s="178"/>
      <c r="H118" s="180"/>
      <c r="I118" s="181"/>
      <c r="J118" s="182" t="s">
        <v>2480</v>
      </c>
      <c r="K118" s="182" t="s">
        <v>2481</v>
      </c>
      <c r="L118" s="181"/>
    </row>
    <row r="119" spans="1:12" ht="15.75" thickBot="1" x14ac:dyDescent="0.3">
      <c r="A119" s="152"/>
      <c r="B119" s="460"/>
      <c r="C119" s="460"/>
      <c r="D119" s="183" t="s">
        <v>2482</v>
      </c>
      <c r="E119" s="184"/>
      <c r="F119" s="185"/>
      <c r="G119" s="184" t="s">
        <v>2483</v>
      </c>
      <c r="H119" s="189">
        <v>92.12</v>
      </c>
      <c r="I119" s="187"/>
      <c r="J119" s="188"/>
      <c r="K119" s="188"/>
      <c r="L119" s="187"/>
    </row>
    <row r="120" spans="1:12" ht="33.75" x14ac:dyDescent="0.25">
      <c r="A120" s="152"/>
      <c r="B120" s="460" t="s">
        <v>2503</v>
      </c>
      <c r="C120" s="460" t="s">
        <v>2504</v>
      </c>
      <c r="D120" s="173" t="s">
        <v>2505</v>
      </c>
      <c r="E120" s="461" t="s">
        <v>2474</v>
      </c>
      <c r="F120" s="461"/>
      <c r="G120" s="461" t="s">
        <v>2475</v>
      </c>
      <c r="H120" s="461"/>
      <c r="I120" s="174">
        <v>24751.8</v>
      </c>
      <c r="J120" s="175" t="s">
        <v>2497</v>
      </c>
      <c r="K120" s="175" t="s">
        <v>2477</v>
      </c>
      <c r="L120" s="176" t="s">
        <v>2478</v>
      </c>
    </row>
    <row r="121" spans="1:12" ht="33.75" x14ac:dyDescent="0.25">
      <c r="A121" s="152"/>
      <c r="B121" s="460"/>
      <c r="C121" s="460"/>
      <c r="D121" s="177" t="s">
        <v>2479</v>
      </c>
      <c r="E121" s="178"/>
      <c r="F121" s="180" t="s">
        <v>2506</v>
      </c>
      <c r="G121" s="178"/>
      <c r="H121" s="180"/>
      <c r="I121" s="181"/>
      <c r="J121" s="182" t="s">
        <v>2480</v>
      </c>
      <c r="K121" s="182" t="s">
        <v>2481</v>
      </c>
      <c r="L121" s="181"/>
    </row>
    <row r="122" spans="1:12" ht="15.75" thickBot="1" x14ac:dyDescent="0.3">
      <c r="A122" s="152"/>
      <c r="B122" s="460"/>
      <c r="C122" s="460"/>
      <c r="D122" s="183" t="s">
        <v>2482</v>
      </c>
      <c r="E122" s="184"/>
      <c r="F122" s="185"/>
      <c r="G122" s="184" t="s">
        <v>2483</v>
      </c>
      <c r="H122" s="189">
        <v>333.91</v>
      </c>
      <c r="I122" s="187"/>
      <c r="J122" s="188"/>
      <c r="K122" s="188"/>
      <c r="L122" s="187"/>
    </row>
    <row r="123" spans="1:12" ht="33.75" x14ac:dyDescent="0.25">
      <c r="A123" s="152"/>
      <c r="B123" s="460" t="s">
        <v>2503</v>
      </c>
      <c r="C123" s="460" t="s">
        <v>2504</v>
      </c>
      <c r="D123" s="173" t="s">
        <v>2505</v>
      </c>
      <c r="E123" s="461" t="s">
        <v>2474</v>
      </c>
      <c r="F123" s="461"/>
      <c r="G123" s="461" t="s">
        <v>2475</v>
      </c>
      <c r="H123" s="461"/>
      <c r="I123" s="174">
        <v>85351.02</v>
      </c>
      <c r="J123" s="175" t="s">
        <v>2498</v>
      </c>
      <c r="K123" s="175" t="s">
        <v>2477</v>
      </c>
      <c r="L123" s="176" t="s">
        <v>2478</v>
      </c>
    </row>
    <row r="124" spans="1:12" ht="33.75" x14ac:dyDescent="0.25">
      <c r="A124" s="152"/>
      <c r="B124" s="460"/>
      <c r="C124" s="460"/>
      <c r="D124" s="177" t="s">
        <v>2479</v>
      </c>
      <c r="E124" s="178"/>
      <c r="F124" s="180" t="s">
        <v>2506</v>
      </c>
      <c r="G124" s="178"/>
      <c r="H124" s="180"/>
      <c r="I124" s="181"/>
      <c r="J124" s="182" t="s">
        <v>2480</v>
      </c>
      <c r="K124" s="182" t="s">
        <v>2481</v>
      </c>
      <c r="L124" s="181"/>
    </row>
    <row r="125" spans="1:12" ht="15.75" thickBot="1" x14ac:dyDescent="0.3">
      <c r="A125" s="152"/>
      <c r="B125" s="460"/>
      <c r="C125" s="460"/>
      <c r="D125" s="183" t="s">
        <v>2482</v>
      </c>
      <c r="E125" s="184"/>
      <c r="F125" s="185"/>
      <c r="G125" s="184" t="s">
        <v>2483</v>
      </c>
      <c r="H125" s="186">
        <v>1151.43</v>
      </c>
      <c r="I125" s="187"/>
      <c r="J125" s="188"/>
      <c r="K125" s="188"/>
      <c r="L125" s="187"/>
    </row>
    <row r="126" spans="1:12" ht="33.75" x14ac:dyDescent="0.25">
      <c r="A126" s="152"/>
      <c r="B126" s="460" t="s">
        <v>2503</v>
      </c>
      <c r="C126" s="460" t="s">
        <v>2504</v>
      </c>
      <c r="D126" s="173" t="s">
        <v>2505</v>
      </c>
      <c r="E126" s="461" t="s">
        <v>2474</v>
      </c>
      <c r="F126" s="461"/>
      <c r="G126" s="461" t="s">
        <v>2475</v>
      </c>
      <c r="H126" s="461"/>
      <c r="I126" s="190">
        <v>876.27</v>
      </c>
      <c r="J126" s="175" t="s">
        <v>2499</v>
      </c>
      <c r="K126" s="175" t="s">
        <v>2477</v>
      </c>
      <c r="L126" s="176" t="s">
        <v>2478</v>
      </c>
    </row>
    <row r="127" spans="1:12" ht="33.75" x14ac:dyDescent="0.25">
      <c r="A127" s="152"/>
      <c r="B127" s="460"/>
      <c r="C127" s="460"/>
      <c r="D127" s="177" t="s">
        <v>2479</v>
      </c>
      <c r="E127" s="178"/>
      <c r="F127" s="180" t="s">
        <v>2506</v>
      </c>
      <c r="G127" s="178"/>
      <c r="H127" s="180"/>
      <c r="I127" s="181"/>
      <c r="J127" s="182" t="s">
        <v>2480</v>
      </c>
      <c r="K127" s="182" t="s">
        <v>2481</v>
      </c>
      <c r="L127" s="181"/>
    </row>
    <row r="128" spans="1:12" ht="15.75" thickBot="1" x14ac:dyDescent="0.3">
      <c r="A128" s="152"/>
      <c r="B128" s="460"/>
      <c r="C128" s="460"/>
      <c r="D128" s="183" t="s">
        <v>2482</v>
      </c>
      <c r="E128" s="184"/>
      <c r="F128" s="185"/>
      <c r="G128" s="184" t="s">
        <v>2483</v>
      </c>
      <c r="H128" s="189">
        <v>11.82</v>
      </c>
      <c r="I128" s="187"/>
      <c r="J128" s="188"/>
      <c r="K128" s="188"/>
      <c r="L128" s="187"/>
    </row>
    <row r="129" spans="1:12" ht="33.75" x14ac:dyDescent="0.25">
      <c r="A129" s="152"/>
      <c r="B129" s="460" t="s">
        <v>2503</v>
      </c>
      <c r="C129" s="460" t="s">
        <v>2504</v>
      </c>
      <c r="D129" s="173" t="s">
        <v>2505</v>
      </c>
      <c r="E129" s="461" t="s">
        <v>2474</v>
      </c>
      <c r="F129" s="461"/>
      <c r="G129" s="461" t="s">
        <v>2475</v>
      </c>
      <c r="H129" s="461"/>
      <c r="I129" s="190">
        <v>426.76</v>
      </c>
      <c r="J129" s="175" t="s">
        <v>2500</v>
      </c>
      <c r="K129" s="175" t="s">
        <v>2477</v>
      </c>
      <c r="L129" s="176" t="s">
        <v>2478</v>
      </c>
    </row>
    <row r="130" spans="1:12" ht="33.75" x14ac:dyDescent="0.25">
      <c r="A130" s="152"/>
      <c r="B130" s="460"/>
      <c r="C130" s="460"/>
      <c r="D130" s="177" t="s">
        <v>2479</v>
      </c>
      <c r="E130" s="178"/>
      <c r="F130" s="180" t="s">
        <v>2506</v>
      </c>
      <c r="G130" s="178"/>
      <c r="H130" s="180"/>
      <c r="I130" s="181"/>
      <c r="J130" s="182" t="s">
        <v>2480</v>
      </c>
      <c r="K130" s="182" t="s">
        <v>2481</v>
      </c>
      <c r="L130" s="181"/>
    </row>
    <row r="131" spans="1:12" ht="15.75" thickBot="1" x14ac:dyDescent="0.3">
      <c r="A131" s="152"/>
      <c r="B131" s="460"/>
      <c r="C131" s="460"/>
      <c r="D131" s="183" t="s">
        <v>2482</v>
      </c>
      <c r="E131" s="184"/>
      <c r="F131" s="185"/>
      <c r="G131" s="184" t="s">
        <v>2483</v>
      </c>
      <c r="H131" s="189">
        <v>5.76</v>
      </c>
      <c r="I131" s="187"/>
      <c r="J131" s="188"/>
      <c r="K131" s="188"/>
      <c r="L131" s="187"/>
    </row>
    <row r="132" spans="1:12" ht="33.75" x14ac:dyDescent="0.25">
      <c r="A132" s="152"/>
      <c r="B132" s="460" t="s">
        <v>2503</v>
      </c>
      <c r="C132" s="460" t="s">
        <v>2504</v>
      </c>
      <c r="D132" s="173" t="s">
        <v>2505</v>
      </c>
      <c r="E132" s="461" t="s">
        <v>2474</v>
      </c>
      <c r="F132" s="461"/>
      <c r="G132" s="461" t="s">
        <v>2475</v>
      </c>
      <c r="H132" s="461"/>
      <c r="I132" s="174">
        <v>4199.2700000000004</v>
      </c>
      <c r="J132" s="175" t="s">
        <v>2501</v>
      </c>
      <c r="K132" s="175" t="s">
        <v>2477</v>
      </c>
      <c r="L132" s="176" t="s">
        <v>2478</v>
      </c>
    </row>
    <row r="133" spans="1:12" ht="33.75" x14ac:dyDescent="0.25">
      <c r="A133" s="152"/>
      <c r="B133" s="460"/>
      <c r="C133" s="460"/>
      <c r="D133" s="177" t="s">
        <v>2479</v>
      </c>
      <c r="E133" s="178"/>
      <c r="F133" s="180" t="s">
        <v>2506</v>
      </c>
      <c r="G133" s="178"/>
      <c r="H133" s="180"/>
      <c r="I133" s="181"/>
      <c r="J133" s="182" t="s">
        <v>2480</v>
      </c>
      <c r="K133" s="182" t="s">
        <v>2481</v>
      </c>
      <c r="L133" s="181"/>
    </row>
    <row r="134" spans="1:12" ht="15.75" thickBot="1" x14ac:dyDescent="0.3">
      <c r="A134" s="152"/>
      <c r="B134" s="460"/>
      <c r="C134" s="460"/>
      <c r="D134" s="183" t="s">
        <v>2482</v>
      </c>
      <c r="E134" s="184"/>
      <c r="F134" s="185"/>
      <c r="G134" s="184" t="s">
        <v>2483</v>
      </c>
      <c r="H134" s="189">
        <v>56.65</v>
      </c>
      <c r="I134" s="187"/>
      <c r="J134" s="188"/>
      <c r="K134" s="188"/>
      <c r="L134" s="187"/>
    </row>
    <row r="135" spans="1:12" ht="33.75" x14ac:dyDescent="0.25">
      <c r="A135" s="152"/>
      <c r="B135" s="460" t="s">
        <v>2503</v>
      </c>
      <c r="C135" s="460" t="s">
        <v>2504</v>
      </c>
      <c r="D135" s="173" t="s">
        <v>2505</v>
      </c>
      <c r="E135" s="461" t="s">
        <v>2474</v>
      </c>
      <c r="F135" s="461"/>
      <c r="G135" s="461" t="s">
        <v>2475</v>
      </c>
      <c r="H135" s="461"/>
      <c r="I135" s="174">
        <v>10486.8</v>
      </c>
      <c r="J135" s="175" t="s">
        <v>2502</v>
      </c>
      <c r="K135" s="175" t="s">
        <v>2477</v>
      </c>
      <c r="L135" s="176" t="s">
        <v>2478</v>
      </c>
    </row>
    <row r="136" spans="1:12" ht="33.75" x14ac:dyDescent="0.25">
      <c r="A136" s="152"/>
      <c r="B136" s="460"/>
      <c r="C136" s="460"/>
      <c r="D136" s="177" t="s">
        <v>2479</v>
      </c>
      <c r="E136" s="178"/>
      <c r="F136" s="180" t="s">
        <v>2506</v>
      </c>
      <c r="G136" s="178"/>
      <c r="H136" s="180"/>
      <c r="I136" s="181"/>
      <c r="J136" s="182" t="s">
        <v>2480</v>
      </c>
      <c r="K136" s="182" t="s">
        <v>2481</v>
      </c>
      <c r="L136" s="181"/>
    </row>
    <row r="137" spans="1:12" ht="15.75" thickBot="1" x14ac:dyDescent="0.3">
      <c r="A137" s="152"/>
      <c r="B137" s="460"/>
      <c r="C137" s="460"/>
      <c r="D137" s="183" t="s">
        <v>2482</v>
      </c>
      <c r="E137" s="184"/>
      <c r="F137" s="185"/>
      <c r="G137" s="184" t="s">
        <v>2483</v>
      </c>
      <c r="H137" s="189">
        <v>141.47</v>
      </c>
      <c r="I137" s="187"/>
      <c r="J137" s="188"/>
      <c r="K137" s="188"/>
      <c r="L137" s="187"/>
    </row>
    <row r="138" spans="1:12" ht="33.75" x14ac:dyDescent="0.25">
      <c r="A138" s="152"/>
      <c r="B138" s="460" t="s">
        <v>2507</v>
      </c>
      <c r="C138" s="460" t="s">
        <v>2508</v>
      </c>
      <c r="D138" s="173" t="s">
        <v>2509</v>
      </c>
      <c r="E138" s="461" t="s">
        <v>2474</v>
      </c>
      <c r="F138" s="461"/>
      <c r="G138" s="461" t="s">
        <v>2475</v>
      </c>
      <c r="H138" s="461"/>
      <c r="I138" s="174">
        <v>3086362.43</v>
      </c>
      <c r="J138" s="175" t="s">
        <v>2510</v>
      </c>
      <c r="K138" s="175" t="s">
        <v>2477</v>
      </c>
      <c r="L138" s="176" t="s">
        <v>2478</v>
      </c>
    </row>
    <row r="139" spans="1:12" ht="33.75" x14ac:dyDescent="0.25">
      <c r="A139" s="152"/>
      <c r="B139" s="460"/>
      <c r="C139" s="460"/>
      <c r="D139" s="177" t="s">
        <v>2479</v>
      </c>
      <c r="E139" s="178"/>
      <c r="F139" s="180" t="s">
        <v>2506</v>
      </c>
      <c r="G139" s="178"/>
      <c r="H139" s="180"/>
      <c r="I139" s="181"/>
      <c r="J139" s="182" t="s">
        <v>2480</v>
      </c>
      <c r="K139" s="182" t="s">
        <v>2481</v>
      </c>
      <c r="L139" s="181"/>
    </row>
    <row r="140" spans="1:12" ht="15.75" thickBot="1" x14ac:dyDescent="0.3">
      <c r="A140" s="152"/>
      <c r="B140" s="460"/>
      <c r="C140" s="460"/>
      <c r="D140" s="183" t="s">
        <v>2482</v>
      </c>
      <c r="E140" s="184"/>
      <c r="F140" s="185"/>
      <c r="G140" s="184" t="s">
        <v>2483</v>
      </c>
      <c r="H140" s="186">
        <v>41739.129999999997</v>
      </c>
      <c r="I140" s="187"/>
      <c r="J140" s="188"/>
      <c r="K140" s="188"/>
      <c r="L140" s="187"/>
    </row>
    <row r="141" spans="1:12" ht="33.75" x14ac:dyDescent="0.25">
      <c r="A141" s="152"/>
      <c r="B141" s="460" t="s">
        <v>2507</v>
      </c>
      <c r="C141" s="460" t="s">
        <v>2508</v>
      </c>
      <c r="D141" s="173" t="s">
        <v>2509</v>
      </c>
      <c r="E141" s="461" t="s">
        <v>2474</v>
      </c>
      <c r="F141" s="461"/>
      <c r="G141" s="461" t="s">
        <v>2475</v>
      </c>
      <c r="H141" s="461"/>
      <c r="I141" s="174">
        <v>462954.37</v>
      </c>
      <c r="J141" s="175" t="s">
        <v>2511</v>
      </c>
      <c r="K141" s="175" t="s">
        <v>2477</v>
      </c>
      <c r="L141" s="176" t="s">
        <v>2478</v>
      </c>
    </row>
    <row r="142" spans="1:12" ht="33.75" x14ac:dyDescent="0.25">
      <c r="A142" s="152"/>
      <c r="B142" s="460"/>
      <c r="C142" s="460"/>
      <c r="D142" s="177" t="s">
        <v>2479</v>
      </c>
      <c r="E142" s="178"/>
      <c r="F142" s="180" t="s">
        <v>2506</v>
      </c>
      <c r="G142" s="178"/>
      <c r="H142" s="180"/>
      <c r="I142" s="181"/>
      <c r="J142" s="182" t="s">
        <v>2480</v>
      </c>
      <c r="K142" s="182" t="s">
        <v>2481</v>
      </c>
      <c r="L142" s="181"/>
    </row>
    <row r="143" spans="1:12" ht="15.75" thickBot="1" x14ac:dyDescent="0.3">
      <c r="A143" s="152"/>
      <c r="B143" s="460"/>
      <c r="C143" s="460"/>
      <c r="D143" s="183" t="s">
        <v>2482</v>
      </c>
      <c r="E143" s="184"/>
      <c r="F143" s="185"/>
      <c r="G143" s="184" t="s">
        <v>2483</v>
      </c>
      <c r="H143" s="186">
        <v>6260.87</v>
      </c>
      <c r="I143" s="187"/>
      <c r="J143" s="188"/>
      <c r="K143" s="188"/>
      <c r="L143" s="187"/>
    </row>
    <row r="144" spans="1:12" ht="45" x14ac:dyDescent="0.25">
      <c r="A144" s="152"/>
      <c r="B144" s="460" t="s">
        <v>2507</v>
      </c>
      <c r="C144" s="460" t="s">
        <v>2512</v>
      </c>
      <c r="D144" s="173" t="s">
        <v>2461</v>
      </c>
      <c r="E144" s="461" t="s">
        <v>2474</v>
      </c>
      <c r="F144" s="461"/>
      <c r="G144" s="461" t="s">
        <v>2475</v>
      </c>
      <c r="H144" s="461"/>
      <c r="I144" s="174">
        <v>14788820</v>
      </c>
      <c r="J144" s="175" t="s">
        <v>2510</v>
      </c>
      <c r="K144" s="175" t="s">
        <v>2477</v>
      </c>
      <c r="L144" s="176" t="s">
        <v>2478</v>
      </c>
    </row>
    <row r="145" spans="1:12" ht="33.75" x14ac:dyDescent="0.25">
      <c r="A145" s="152"/>
      <c r="B145" s="460"/>
      <c r="C145" s="460"/>
      <c r="D145" s="177" t="s">
        <v>2479</v>
      </c>
      <c r="E145" s="178"/>
      <c r="F145" s="179">
        <v>1</v>
      </c>
      <c r="G145" s="178"/>
      <c r="H145" s="180"/>
      <c r="I145" s="181"/>
      <c r="J145" s="182" t="s">
        <v>2480</v>
      </c>
      <c r="K145" s="182" t="s">
        <v>2481</v>
      </c>
      <c r="L145" s="181"/>
    </row>
    <row r="146" spans="1:12" ht="15.75" thickBot="1" x14ac:dyDescent="0.3">
      <c r="A146" s="152"/>
      <c r="B146" s="460"/>
      <c r="C146" s="460"/>
      <c r="D146" s="183" t="s">
        <v>2482</v>
      </c>
      <c r="E146" s="184"/>
      <c r="F146" s="185"/>
      <c r="G146" s="184" t="s">
        <v>2483</v>
      </c>
      <c r="H146" s="186">
        <v>200000</v>
      </c>
      <c r="I146" s="187"/>
      <c r="J146" s="188"/>
      <c r="K146" s="188"/>
      <c r="L146" s="187"/>
    </row>
    <row r="147" spans="1:12" ht="45" x14ac:dyDescent="0.25">
      <c r="A147" s="152"/>
      <c r="B147" s="460" t="s">
        <v>2507</v>
      </c>
      <c r="C147" s="460" t="s">
        <v>2512</v>
      </c>
      <c r="D147" s="173" t="s">
        <v>2461</v>
      </c>
      <c r="E147" s="461" t="s">
        <v>2474</v>
      </c>
      <c r="F147" s="461"/>
      <c r="G147" s="461" t="s">
        <v>2475</v>
      </c>
      <c r="H147" s="461"/>
      <c r="I147" s="174">
        <v>2218323</v>
      </c>
      <c r="J147" s="175" t="s">
        <v>2511</v>
      </c>
      <c r="K147" s="175" t="s">
        <v>2477</v>
      </c>
      <c r="L147" s="176" t="s">
        <v>2478</v>
      </c>
    </row>
    <row r="148" spans="1:12" ht="33.75" x14ac:dyDescent="0.25">
      <c r="A148" s="152"/>
      <c r="B148" s="460"/>
      <c r="C148" s="460"/>
      <c r="D148" s="177" t="s">
        <v>2479</v>
      </c>
      <c r="E148" s="178"/>
      <c r="F148" s="179">
        <v>1</v>
      </c>
      <c r="G148" s="178"/>
      <c r="H148" s="180"/>
      <c r="I148" s="181"/>
      <c r="J148" s="182" t="s">
        <v>2480</v>
      </c>
      <c r="K148" s="182" t="s">
        <v>2481</v>
      </c>
      <c r="L148" s="181"/>
    </row>
    <row r="149" spans="1:12" ht="15.75" thickBot="1" x14ac:dyDescent="0.3">
      <c r="A149" s="152"/>
      <c r="B149" s="460"/>
      <c r="C149" s="460"/>
      <c r="D149" s="183" t="s">
        <v>2482</v>
      </c>
      <c r="E149" s="184"/>
      <c r="F149" s="185"/>
      <c r="G149" s="184" t="s">
        <v>2483</v>
      </c>
      <c r="H149" s="186">
        <v>30000</v>
      </c>
      <c r="I149" s="187"/>
      <c r="J149" s="188"/>
      <c r="K149" s="188"/>
      <c r="L149" s="187"/>
    </row>
    <row r="150" spans="1:12" ht="15.75" thickBot="1" x14ac:dyDescent="0.3">
      <c r="A150" s="152"/>
      <c r="B150" s="191"/>
      <c r="C150" s="153"/>
      <c r="D150" s="155"/>
      <c r="E150" s="192"/>
      <c r="F150" s="193"/>
      <c r="G150" s="192"/>
      <c r="H150" s="193"/>
      <c r="I150" s="194">
        <v>44802398.560000002</v>
      </c>
      <c r="J150" s="191"/>
      <c r="K150" s="153"/>
      <c r="L150" s="155"/>
    </row>
    <row r="151" spans="1:12" x14ac:dyDescent="0.25">
      <c r="G151" s="156"/>
    </row>
    <row r="152" spans="1:12" x14ac:dyDescent="0.25">
      <c r="G152" s="156"/>
    </row>
    <row r="157" spans="1:12" x14ac:dyDescent="0.25">
      <c r="D157" s="157"/>
      <c r="E157" s="158"/>
      <c r="F157" s="159"/>
      <c r="G157" s="154"/>
    </row>
    <row r="158" spans="1:12" x14ac:dyDescent="0.25">
      <c r="D158" s="157"/>
      <c r="E158" s="158"/>
      <c r="F158" s="159"/>
      <c r="G158" s="154"/>
    </row>
    <row r="159" spans="1:12" x14ac:dyDescent="0.25">
      <c r="D159" s="157"/>
      <c r="E159" s="158"/>
      <c r="F159" s="159"/>
      <c r="G159" s="154"/>
    </row>
    <row r="160" spans="1:12" x14ac:dyDescent="0.25">
      <c r="D160" s="157"/>
      <c r="E160" s="158"/>
      <c r="F160" s="159"/>
      <c r="G160" s="154"/>
    </row>
    <row r="161" spans="4:7" x14ac:dyDescent="0.25">
      <c r="D161" s="157"/>
      <c r="E161" s="158"/>
      <c r="F161" s="159"/>
      <c r="G161" s="154"/>
    </row>
    <row r="162" spans="4:7" x14ac:dyDescent="0.25">
      <c r="D162" s="157"/>
      <c r="E162" s="158"/>
      <c r="F162" s="159"/>
      <c r="G162" s="154"/>
    </row>
    <row r="163" spans="4:7" x14ac:dyDescent="0.25">
      <c r="D163" s="157"/>
      <c r="E163" s="158"/>
      <c r="F163" s="159"/>
      <c r="G163" s="154"/>
    </row>
    <row r="164" spans="4:7" x14ac:dyDescent="0.25">
      <c r="D164" s="157"/>
      <c r="E164" s="158"/>
      <c r="F164" s="159"/>
      <c r="G164" s="154"/>
    </row>
    <row r="165" spans="4:7" x14ac:dyDescent="0.25">
      <c r="D165" s="157"/>
      <c r="E165" s="158"/>
      <c r="F165" s="159"/>
      <c r="G165" s="154"/>
    </row>
    <row r="166" spans="4:7" x14ac:dyDescent="0.25">
      <c r="D166" s="157"/>
      <c r="E166" s="158"/>
      <c r="F166" s="159"/>
      <c r="G166" s="154"/>
    </row>
    <row r="167" spans="4:7" x14ac:dyDescent="0.25">
      <c r="D167" s="157"/>
      <c r="E167" s="158"/>
      <c r="F167" s="159"/>
      <c r="G167" s="154"/>
    </row>
    <row r="168" spans="4:7" x14ac:dyDescent="0.25">
      <c r="D168" s="157"/>
      <c r="E168" s="158"/>
      <c r="F168" s="159"/>
      <c r="G168" s="154"/>
    </row>
    <row r="169" spans="4:7" x14ac:dyDescent="0.25">
      <c r="D169" s="157"/>
      <c r="E169" s="158"/>
      <c r="F169" s="159"/>
      <c r="G169" s="154"/>
    </row>
    <row r="170" spans="4:7" x14ac:dyDescent="0.25">
      <c r="D170" s="157"/>
      <c r="E170" s="158"/>
      <c r="F170" s="159"/>
      <c r="G170" s="154"/>
    </row>
    <row r="171" spans="4:7" x14ac:dyDescent="0.25">
      <c r="D171" s="157"/>
      <c r="E171" s="158"/>
      <c r="F171" s="159"/>
      <c r="G171" s="154"/>
    </row>
    <row r="172" spans="4:7" x14ac:dyDescent="0.25">
      <c r="D172" s="161"/>
      <c r="E172" s="162"/>
      <c r="F172" s="163"/>
      <c r="G172" s="160"/>
    </row>
    <row r="173" spans="4:7" x14ac:dyDescent="0.25">
      <c r="D173" s="161"/>
      <c r="E173" s="162"/>
      <c r="F173" s="163"/>
      <c r="G173" s="160"/>
    </row>
    <row r="174" spans="4:7" x14ac:dyDescent="0.25">
      <c r="D174" s="152"/>
      <c r="E174" s="152"/>
      <c r="F174" s="152"/>
      <c r="G174" s="164"/>
    </row>
    <row r="175" spans="4:7" x14ac:dyDescent="0.25">
      <c r="G175" s="156"/>
    </row>
    <row r="176" spans="4:7" x14ac:dyDescent="0.25">
      <c r="G176" s="156"/>
    </row>
    <row r="177" spans="7:7" x14ac:dyDescent="0.25">
      <c r="G177" s="156"/>
    </row>
  </sheetData>
  <autoFilter ref="A17:L150">
    <filterColumn colId="4" showButton="0"/>
    <filterColumn colId="6" showButton="0"/>
  </autoFilter>
  <sortState ref="A6:D7">
    <sortCondition descending="1" ref="B6"/>
  </sortState>
  <mergeCells count="307">
    <mergeCell ref="O101:O102"/>
    <mergeCell ref="Q101:R101"/>
    <mergeCell ref="S101:T101"/>
    <mergeCell ref="O95:O96"/>
    <mergeCell ref="Q95:R95"/>
    <mergeCell ref="S95:T95"/>
    <mergeCell ref="O97:O98"/>
    <mergeCell ref="Q97:R97"/>
    <mergeCell ref="S97:T97"/>
    <mergeCell ref="O99:O100"/>
    <mergeCell ref="Q99:R99"/>
    <mergeCell ref="S99:T99"/>
    <mergeCell ref="O89:O90"/>
    <mergeCell ref="Q89:R89"/>
    <mergeCell ref="S89:T89"/>
    <mergeCell ref="O91:O92"/>
    <mergeCell ref="Q91:R91"/>
    <mergeCell ref="S91:T91"/>
    <mergeCell ref="O93:O94"/>
    <mergeCell ref="Q93:R93"/>
    <mergeCell ref="S93:T93"/>
    <mergeCell ref="O83:O84"/>
    <mergeCell ref="Q83:R83"/>
    <mergeCell ref="S83:T83"/>
    <mergeCell ref="O85:O86"/>
    <mergeCell ref="Q85:R85"/>
    <mergeCell ref="S85:T85"/>
    <mergeCell ref="O87:O88"/>
    <mergeCell ref="Q87:R87"/>
    <mergeCell ref="S87:T87"/>
    <mergeCell ref="O77:O78"/>
    <mergeCell ref="Q77:R77"/>
    <mergeCell ref="S77:T77"/>
    <mergeCell ref="O79:O80"/>
    <mergeCell ref="Q79:R79"/>
    <mergeCell ref="S79:T79"/>
    <mergeCell ref="O81:O82"/>
    <mergeCell ref="Q81:R81"/>
    <mergeCell ref="S81:T81"/>
    <mergeCell ref="O71:O72"/>
    <mergeCell ref="Q71:R71"/>
    <mergeCell ref="S71:T71"/>
    <mergeCell ref="O73:O74"/>
    <mergeCell ref="Q73:R73"/>
    <mergeCell ref="S73:T73"/>
    <mergeCell ref="O75:O76"/>
    <mergeCell ref="Q75:R75"/>
    <mergeCell ref="S75:T75"/>
    <mergeCell ref="O65:O66"/>
    <mergeCell ref="Q65:R65"/>
    <mergeCell ref="S65:T65"/>
    <mergeCell ref="O67:O68"/>
    <mergeCell ref="Q67:R67"/>
    <mergeCell ref="S67:T67"/>
    <mergeCell ref="O69:O70"/>
    <mergeCell ref="Q69:R69"/>
    <mergeCell ref="S69:T69"/>
    <mergeCell ref="O59:O60"/>
    <mergeCell ref="Q59:R59"/>
    <mergeCell ref="S59:T59"/>
    <mergeCell ref="O61:O62"/>
    <mergeCell ref="Q61:R61"/>
    <mergeCell ref="S61:T61"/>
    <mergeCell ref="O63:O64"/>
    <mergeCell ref="Q63:R63"/>
    <mergeCell ref="S63:T63"/>
    <mergeCell ref="O53:O54"/>
    <mergeCell ref="Q53:R53"/>
    <mergeCell ref="S53:T53"/>
    <mergeCell ref="O55:O56"/>
    <mergeCell ref="Q55:R55"/>
    <mergeCell ref="S55:T55"/>
    <mergeCell ref="O57:O58"/>
    <mergeCell ref="Q57:R57"/>
    <mergeCell ref="S57:T57"/>
    <mergeCell ref="O47:O48"/>
    <mergeCell ref="Q47:R47"/>
    <mergeCell ref="S47:T47"/>
    <mergeCell ref="O49:O50"/>
    <mergeCell ref="Q49:R49"/>
    <mergeCell ref="S49:T49"/>
    <mergeCell ref="O51:O52"/>
    <mergeCell ref="Q51:R51"/>
    <mergeCell ref="S51:T51"/>
    <mergeCell ref="O41:O42"/>
    <mergeCell ref="Q41:R41"/>
    <mergeCell ref="S41:T41"/>
    <mergeCell ref="O43:O44"/>
    <mergeCell ref="Q43:R43"/>
    <mergeCell ref="S43:T43"/>
    <mergeCell ref="O45:O46"/>
    <mergeCell ref="Q45:R45"/>
    <mergeCell ref="S45:T45"/>
    <mergeCell ref="O35:O36"/>
    <mergeCell ref="Q35:R35"/>
    <mergeCell ref="S35:T35"/>
    <mergeCell ref="O37:O38"/>
    <mergeCell ref="Q37:R37"/>
    <mergeCell ref="S37:T37"/>
    <mergeCell ref="O39:O40"/>
    <mergeCell ref="Q39:R39"/>
    <mergeCell ref="S39:T39"/>
    <mergeCell ref="O29:O30"/>
    <mergeCell ref="Q29:R29"/>
    <mergeCell ref="S29:T29"/>
    <mergeCell ref="O31:O32"/>
    <mergeCell ref="Q31:R31"/>
    <mergeCell ref="S31:T31"/>
    <mergeCell ref="O33:O34"/>
    <mergeCell ref="Q33:R33"/>
    <mergeCell ref="S33:T33"/>
    <mergeCell ref="O23:O24"/>
    <mergeCell ref="Q23:R23"/>
    <mergeCell ref="S23:T23"/>
    <mergeCell ref="O25:O26"/>
    <mergeCell ref="Q25:R25"/>
    <mergeCell ref="S25:T25"/>
    <mergeCell ref="O27:O28"/>
    <mergeCell ref="Q27:R27"/>
    <mergeCell ref="S27:T27"/>
    <mergeCell ref="E17:F17"/>
    <mergeCell ref="G17:H17"/>
    <mergeCell ref="O17:O18"/>
    <mergeCell ref="Q17:R17"/>
    <mergeCell ref="S17:T17"/>
    <mergeCell ref="O19:O20"/>
    <mergeCell ref="Q19:R19"/>
    <mergeCell ref="S19:T19"/>
    <mergeCell ref="O21:O22"/>
    <mergeCell ref="Q21:R21"/>
    <mergeCell ref="S21:T21"/>
    <mergeCell ref="B24:B26"/>
    <mergeCell ref="C24:C26"/>
    <mergeCell ref="E24:F24"/>
    <mergeCell ref="G24:H24"/>
    <mergeCell ref="B27:B29"/>
    <mergeCell ref="C27:C29"/>
    <mergeCell ref="E27:F27"/>
    <mergeCell ref="G27:H27"/>
    <mergeCell ref="B18:B20"/>
    <mergeCell ref="C18:C20"/>
    <mergeCell ref="E18:F18"/>
    <mergeCell ref="G18:H18"/>
    <mergeCell ref="B21:B23"/>
    <mergeCell ref="C21:C23"/>
    <mergeCell ref="E21:F21"/>
    <mergeCell ref="G21:H21"/>
    <mergeCell ref="B36:B38"/>
    <mergeCell ref="C36:C38"/>
    <mergeCell ref="E36:F36"/>
    <mergeCell ref="G36:H36"/>
    <mergeCell ref="B39:B41"/>
    <mergeCell ref="C39:C41"/>
    <mergeCell ref="E39:F39"/>
    <mergeCell ref="G39:H39"/>
    <mergeCell ref="B30:B32"/>
    <mergeCell ref="C30:C32"/>
    <mergeCell ref="E30:F30"/>
    <mergeCell ref="G30:H30"/>
    <mergeCell ref="B33:B35"/>
    <mergeCell ref="C33:C35"/>
    <mergeCell ref="E33:F33"/>
    <mergeCell ref="G33:H33"/>
    <mergeCell ref="B48:B50"/>
    <mergeCell ref="C48:C50"/>
    <mergeCell ref="E48:F48"/>
    <mergeCell ref="G48:H48"/>
    <mergeCell ref="B51:B53"/>
    <mergeCell ref="C51:C53"/>
    <mergeCell ref="E51:F51"/>
    <mergeCell ref="G51:H51"/>
    <mergeCell ref="B42:B44"/>
    <mergeCell ref="C42:C44"/>
    <mergeCell ref="E42:F42"/>
    <mergeCell ref="G42:H42"/>
    <mergeCell ref="B45:B47"/>
    <mergeCell ref="C45:C47"/>
    <mergeCell ref="E45:F45"/>
    <mergeCell ref="G45:H45"/>
    <mergeCell ref="B60:B62"/>
    <mergeCell ref="C60:C62"/>
    <mergeCell ref="E60:F60"/>
    <mergeCell ref="G60:H60"/>
    <mergeCell ref="B63:B65"/>
    <mergeCell ref="C63:C65"/>
    <mergeCell ref="E63:F63"/>
    <mergeCell ref="G63:H63"/>
    <mergeCell ref="B54:B56"/>
    <mergeCell ref="C54:C56"/>
    <mergeCell ref="E54:F54"/>
    <mergeCell ref="G54:H54"/>
    <mergeCell ref="B57:B59"/>
    <mergeCell ref="C57:C59"/>
    <mergeCell ref="E57:F57"/>
    <mergeCell ref="G57:H57"/>
    <mergeCell ref="B72:B74"/>
    <mergeCell ref="C72:C74"/>
    <mergeCell ref="E72:F72"/>
    <mergeCell ref="G72:H72"/>
    <mergeCell ref="B75:B77"/>
    <mergeCell ref="C75:C77"/>
    <mergeCell ref="E75:F75"/>
    <mergeCell ref="G75:H75"/>
    <mergeCell ref="B66:B68"/>
    <mergeCell ref="C66:C68"/>
    <mergeCell ref="E66:F66"/>
    <mergeCell ref="G66:H66"/>
    <mergeCell ref="B69:B71"/>
    <mergeCell ref="C69:C71"/>
    <mergeCell ref="E69:F69"/>
    <mergeCell ref="G69:H69"/>
    <mergeCell ref="B84:B86"/>
    <mergeCell ref="C84:C86"/>
    <mergeCell ref="E84:F84"/>
    <mergeCell ref="G84:H84"/>
    <mergeCell ref="B87:B89"/>
    <mergeCell ref="C87:C89"/>
    <mergeCell ref="E87:F87"/>
    <mergeCell ref="G87:H87"/>
    <mergeCell ref="B78:B80"/>
    <mergeCell ref="C78:C80"/>
    <mergeCell ref="E78:F78"/>
    <mergeCell ref="G78:H78"/>
    <mergeCell ref="B81:B83"/>
    <mergeCell ref="C81:C83"/>
    <mergeCell ref="E81:F81"/>
    <mergeCell ref="G81:H81"/>
    <mergeCell ref="B96:B98"/>
    <mergeCell ref="C96:C98"/>
    <mergeCell ref="E96:F96"/>
    <mergeCell ref="G96:H96"/>
    <mergeCell ref="B99:B101"/>
    <mergeCell ref="C99:C101"/>
    <mergeCell ref="E99:F99"/>
    <mergeCell ref="G99:H99"/>
    <mergeCell ref="B90:B92"/>
    <mergeCell ref="C90:C92"/>
    <mergeCell ref="E90:F90"/>
    <mergeCell ref="G90:H90"/>
    <mergeCell ref="B93:B95"/>
    <mergeCell ref="C93:C95"/>
    <mergeCell ref="E93:F93"/>
    <mergeCell ref="G93:H93"/>
    <mergeCell ref="B108:B110"/>
    <mergeCell ref="C108:C110"/>
    <mergeCell ref="E108:F108"/>
    <mergeCell ref="G108:H108"/>
    <mergeCell ref="B111:B113"/>
    <mergeCell ref="C111:C113"/>
    <mergeCell ref="E111:F111"/>
    <mergeCell ref="G111:H111"/>
    <mergeCell ref="B102:B104"/>
    <mergeCell ref="C102:C104"/>
    <mergeCell ref="E102:F102"/>
    <mergeCell ref="G102:H102"/>
    <mergeCell ref="B105:B107"/>
    <mergeCell ref="C105:C107"/>
    <mergeCell ref="E105:F105"/>
    <mergeCell ref="G105:H105"/>
    <mergeCell ref="B120:B122"/>
    <mergeCell ref="C120:C122"/>
    <mergeCell ref="E120:F120"/>
    <mergeCell ref="G120:H120"/>
    <mergeCell ref="B123:B125"/>
    <mergeCell ref="C123:C125"/>
    <mergeCell ref="E123:F123"/>
    <mergeCell ref="G123:H123"/>
    <mergeCell ref="B114:B116"/>
    <mergeCell ref="C114:C116"/>
    <mergeCell ref="E114:F114"/>
    <mergeCell ref="G114:H114"/>
    <mergeCell ref="B117:B119"/>
    <mergeCell ref="C117:C119"/>
    <mergeCell ref="E117:F117"/>
    <mergeCell ref="G117:H117"/>
    <mergeCell ref="B132:B134"/>
    <mergeCell ref="C132:C134"/>
    <mergeCell ref="E132:F132"/>
    <mergeCell ref="G132:H132"/>
    <mergeCell ref="B135:B137"/>
    <mergeCell ref="C135:C137"/>
    <mergeCell ref="E135:F135"/>
    <mergeCell ref="G135:H135"/>
    <mergeCell ref="B126:B128"/>
    <mergeCell ref="C126:C128"/>
    <mergeCell ref="E126:F126"/>
    <mergeCell ref="G126:H126"/>
    <mergeCell ref="B129:B131"/>
    <mergeCell ref="C129:C131"/>
    <mergeCell ref="E129:F129"/>
    <mergeCell ref="G129:H129"/>
    <mergeCell ref="B144:B146"/>
    <mergeCell ref="C144:C146"/>
    <mergeCell ref="E144:F144"/>
    <mergeCell ref="G144:H144"/>
    <mergeCell ref="B147:B149"/>
    <mergeCell ref="C147:C149"/>
    <mergeCell ref="E147:F147"/>
    <mergeCell ref="G147:H147"/>
    <mergeCell ref="B138:B140"/>
    <mergeCell ref="C138:C140"/>
    <mergeCell ref="E138:F138"/>
    <mergeCell ref="G138:H138"/>
    <mergeCell ref="B141:B143"/>
    <mergeCell ref="C141:C143"/>
    <mergeCell ref="E141:F141"/>
    <mergeCell ref="G141:H1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topLeftCell="A22" zoomScaleNormal="100" workbookViewId="0">
      <selection activeCell="C14" sqref="C14"/>
    </sheetView>
  </sheetViews>
  <sheetFormatPr defaultRowHeight="15" x14ac:dyDescent="0.25"/>
  <cols>
    <col min="1" max="1" width="9.140625" style="201"/>
    <col min="2" max="2" width="57.7109375" style="205" customWidth="1"/>
    <col min="3" max="5" width="14.42578125" style="205" bestFit="1" customWidth="1"/>
    <col min="6" max="12" width="9.140625" style="141"/>
    <col min="13" max="13" width="31.7109375" style="141" customWidth="1"/>
    <col min="14" max="16384" width="9.140625" style="141"/>
  </cols>
  <sheetData>
    <row r="2" spans="1:5" s="202" customFormat="1" ht="60" x14ac:dyDescent="0.25">
      <c r="A2" s="142" t="s">
        <v>2656</v>
      </c>
      <c r="B2" s="142" t="s">
        <v>2650</v>
      </c>
      <c r="C2" s="142" t="s">
        <v>41</v>
      </c>
      <c r="D2" s="142" t="s">
        <v>40</v>
      </c>
      <c r="E2" s="142" t="s">
        <v>2724</v>
      </c>
    </row>
    <row r="3" spans="1:5" ht="30" x14ac:dyDescent="0.25">
      <c r="A3" s="206">
        <v>1</v>
      </c>
      <c r="B3" s="203" t="s">
        <v>2723</v>
      </c>
      <c r="C3" s="204" t="e">
        <f>SUM('Расчет сс '!#REF!)</f>
        <v>#REF!</v>
      </c>
      <c r="D3" s="204" t="e">
        <f>SUM('Расчет сс '!#REF!)</f>
        <v>#REF!</v>
      </c>
      <c r="E3" s="204" t="e">
        <f>'Расчет сс '!#REF!</f>
        <v>#REF!</v>
      </c>
    </row>
    <row r="4" spans="1:5" ht="45" x14ac:dyDescent="0.25">
      <c r="A4" s="206">
        <v>2</v>
      </c>
      <c r="B4" s="203" t="s">
        <v>2628</v>
      </c>
      <c r="C4" s="204" t="e">
        <f>SUM('Расчет сс '!#REF!)</f>
        <v>#REF!</v>
      </c>
      <c r="D4" s="204" t="e">
        <f>SUM('Расчет сс '!#REF!)</f>
        <v>#REF!</v>
      </c>
      <c r="E4" s="204" t="e">
        <f>'Расчет сс '!#REF!</f>
        <v>#REF!</v>
      </c>
    </row>
    <row r="5" spans="1:5" ht="30" x14ac:dyDescent="0.25">
      <c r="A5" s="206">
        <v>3</v>
      </c>
      <c r="B5" s="203" t="s">
        <v>2629</v>
      </c>
      <c r="C5" s="204" t="e">
        <f>SUM('Расчет сс '!#REF!)</f>
        <v>#REF!</v>
      </c>
      <c r="D5" s="204" t="e">
        <f>SUM('Расчет сс '!#REF!)</f>
        <v>#REF!</v>
      </c>
      <c r="E5" s="204" t="e">
        <f>'Расчет сс '!#REF!</f>
        <v>#REF!</v>
      </c>
    </row>
    <row r="6" spans="1:5" ht="45" x14ac:dyDescent="0.25">
      <c r="A6" s="206">
        <v>4</v>
      </c>
      <c r="B6" s="203" t="s">
        <v>2630</v>
      </c>
      <c r="C6" s="204" t="e">
        <f>SUM('Расчет сс '!#REF!)</f>
        <v>#REF!</v>
      </c>
      <c r="D6" s="204" t="e">
        <f>SUM('Расчет сс '!#REF!)</f>
        <v>#REF!</v>
      </c>
      <c r="E6" s="204" t="e">
        <f>'Расчет сс '!#REF!</f>
        <v>#REF!</v>
      </c>
    </row>
    <row r="7" spans="1:5" ht="30" x14ac:dyDescent="0.25">
      <c r="A7" s="206">
        <v>5</v>
      </c>
      <c r="B7" s="203" t="s">
        <v>2631</v>
      </c>
      <c r="C7" s="204" t="e">
        <f>SUM('Расчет сс '!#REF!)</f>
        <v>#REF!</v>
      </c>
      <c r="D7" s="204" t="e">
        <f>SUM('Расчет сс '!#REF!)</f>
        <v>#REF!</v>
      </c>
      <c r="E7" s="204" t="e">
        <f>'Расчет сс '!#REF!</f>
        <v>#REF!</v>
      </c>
    </row>
    <row r="8" spans="1:5" ht="30" x14ac:dyDescent="0.25">
      <c r="A8" s="206">
        <v>6</v>
      </c>
      <c r="B8" s="203" t="s">
        <v>2632</v>
      </c>
      <c r="C8" s="204" t="e">
        <f>SUM('Расчет сс '!#REF!)</f>
        <v>#REF!</v>
      </c>
      <c r="D8" s="204" t="e">
        <f>SUM('Расчет сс '!#REF!)</f>
        <v>#REF!</v>
      </c>
      <c r="E8" s="204" t="e">
        <f>'Расчет сс '!#REF!</f>
        <v>#REF!</v>
      </c>
    </row>
    <row r="9" spans="1:5" ht="30" x14ac:dyDescent="0.25">
      <c r="A9" s="206">
        <v>7</v>
      </c>
      <c r="B9" s="203" t="s">
        <v>2633</v>
      </c>
      <c r="C9" s="204" t="e">
        <f>SUM('Расчет сс '!#REF!)</f>
        <v>#REF!</v>
      </c>
      <c r="D9" s="204" t="e">
        <f>SUM('Расчет сс '!#REF!)</f>
        <v>#REF!</v>
      </c>
      <c r="E9" s="204" t="e">
        <f>'Расчет сс '!#REF!</f>
        <v>#REF!</v>
      </c>
    </row>
    <row r="10" spans="1:5" x14ac:dyDescent="0.25">
      <c r="A10" s="206">
        <v>8</v>
      </c>
      <c r="B10" s="203" t="s">
        <v>2634</v>
      </c>
      <c r="C10" s="204" t="e">
        <f>SUM('Расчет сс '!#REF!)</f>
        <v>#REF!</v>
      </c>
      <c r="D10" s="204" t="e">
        <f>SUM('Расчет сс '!#REF!)</f>
        <v>#REF!</v>
      </c>
      <c r="E10" s="204" t="e">
        <f>'Расчет сс '!#REF!</f>
        <v>#REF!</v>
      </c>
    </row>
    <row r="11" spans="1:5" ht="30" x14ac:dyDescent="0.25">
      <c r="A11" s="206">
        <v>9</v>
      </c>
      <c r="B11" s="203" t="s">
        <v>2635</v>
      </c>
      <c r="C11" s="204" t="e">
        <f>SUM('Расчет сс '!#REF!)</f>
        <v>#REF!</v>
      </c>
      <c r="D11" s="204" t="e">
        <f>SUM('Расчет сс '!#REF!)</f>
        <v>#REF!</v>
      </c>
      <c r="E11" s="204" t="e">
        <f>'Расчет сс '!#REF!</f>
        <v>#REF!</v>
      </c>
    </row>
    <row r="12" spans="1:5" ht="30" x14ac:dyDescent="0.25">
      <c r="A12" s="206">
        <v>10</v>
      </c>
      <c r="B12" s="203" t="s">
        <v>2636</v>
      </c>
      <c r="C12" s="204" t="e">
        <f>SUM('Расчет сс '!#REF!)</f>
        <v>#REF!</v>
      </c>
      <c r="D12" s="204" t="e">
        <f>SUM('Расчет сс '!#REF!)</f>
        <v>#REF!</v>
      </c>
      <c r="E12" s="204" t="e">
        <f>'Расчет сс '!#REF!</f>
        <v>#REF!</v>
      </c>
    </row>
    <row r="13" spans="1:5" ht="30" x14ac:dyDescent="0.25">
      <c r="A13" s="206">
        <v>11</v>
      </c>
      <c r="B13" s="203" t="s">
        <v>2637</v>
      </c>
      <c r="C13" s="204" t="e">
        <f>SUM('Расчет сс '!#REF!)</f>
        <v>#REF!</v>
      </c>
      <c r="D13" s="204" t="e">
        <f>SUM('Расчет сс '!#REF!)</f>
        <v>#REF!</v>
      </c>
      <c r="E13" s="204" t="e">
        <f>'Расчет сс '!#REF!</f>
        <v>#REF!</v>
      </c>
    </row>
    <row r="14" spans="1:5" ht="30" x14ac:dyDescent="0.25">
      <c r="A14" s="206">
        <v>12</v>
      </c>
      <c r="B14" s="203" t="s">
        <v>2638</v>
      </c>
      <c r="C14" s="204" t="e">
        <f>SUM('Расчет сс '!#REF!)</f>
        <v>#REF!</v>
      </c>
      <c r="D14" s="204" t="e">
        <f>SUM('Расчет сс '!#REF!)</f>
        <v>#REF!</v>
      </c>
      <c r="E14" s="204" t="e">
        <f>'Расчет сс '!#REF!</f>
        <v>#REF!</v>
      </c>
    </row>
    <row r="15" spans="1:5" ht="30" x14ac:dyDescent="0.25">
      <c r="A15" s="206">
        <v>13</v>
      </c>
      <c r="B15" s="203" t="s">
        <v>2639</v>
      </c>
      <c r="C15" s="204" t="e">
        <f>SUM('Расчет сс '!#REF!)</f>
        <v>#REF!</v>
      </c>
      <c r="D15" s="204" t="e">
        <f>SUM('Расчет сс '!#REF!)</f>
        <v>#REF!</v>
      </c>
      <c r="E15" s="204" t="e">
        <f>'Расчет сс '!#REF!</f>
        <v>#REF!</v>
      </c>
    </row>
    <row r="16" spans="1:5" ht="30" x14ac:dyDescent="0.25">
      <c r="A16" s="206">
        <v>14</v>
      </c>
      <c r="B16" s="203" t="s">
        <v>2640</v>
      </c>
      <c r="C16" s="204" t="e">
        <f>SUM('Расчет сс '!#REF!)</f>
        <v>#REF!</v>
      </c>
      <c r="D16" s="204" t="e">
        <f>SUM('Расчет сс '!#REF!)</f>
        <v>#REF!</v>
      </c>
      <c r="E16" s="204" t="e">
        <f>'Расчет сс '!#REF!</f>
        <v>#REF!</v>
      </c>
    </row>
    <row r="17" spans="1:5" ht="30" x14ac:dyDescent="0.25">
      <c r="A17" s="206">
        <v>15</v>
      </c>
      <c r="B17" s="203" t="s">
        <v>2641</v>
      </c>
      <c r="C17" s="204" t="e">
        <f>SUM('Расчет сс '!#REF!)</f>
        <v>#REF!</v>
      </c>
      <c r="D17" s="204" t="e">
        <f>SUM('Расчет сс '!#REF!)</f>
        <v>#REF!</v>
      </c>
      <c r="E17" s="204" t="e">
        <f>'Расчет сс '!#REF!</f>
        <v>#REF!</v>
      </c>
    </row>
    <row r="18" spans="1:5" ht="30" x14ac:dyDescent="0.25">
      <c r="A18" s="206">
        <v>16</v>
      </c>
      <c r="B18" s="203" t="s">
        <v>2642</v>
      </c>
      <c r="C18" s="204" t="e">
        <f>SUM('Расчет сс '!#REF!)</f>
        <v>#REF!</v>
      </c>
      <c r="D18" s="204" t="e">
        <f>SUM('Расчет сс '!#REF!)</f>
        <v>#REF!</v>
      </c>
      <c r="E18" s="204" t="e">
        <f>'Расчет сс '!#REF!</f>
        <v>#REF!</v>
      </c>
    </row>
    <row r="19" spans="1:5" ht="30" x14ac:dyDescent="0.25">
      <c r="A19" s="206">
        <v>17</v>
      </c>
      <c r="B19" s="203" t="s">
        <v>2643</v>
      </c>
      <c r="C19" s="204" t="e">
        <f>SUM('Расчет сс '!#REF!)</f>
        <v>#REF!</v>
      </c>
      <c r="D19" s="204" t="e">
        <f>SUM('Расчет сс '!#REF!)</f>
        <v>#REF!</v>
      </c>
      <c r="E19" s="204" t="e">
        <f>'Расчет сс '!#REF!</f>
        <v>#REF!</v>
      </c>
    </row>
    <row r="20" spans="1:5" ht="30" x14ac:dyDescent="0.25">
      <c r="A20" s="206">
        <v>18</v>
      </c>
      <c r="B20" s="203" t="s">
        <v>2644</v>
      </c>
      <c r="C20" s="285" t="e">
        <f>SUM('Расчет сс '!#REF!)</f>
        <v>#REF!</v>
      </c>
      <c r="D20" s="204" t="e">
        <f>SUM('Расчет сс '!#REF!)</f>
        <v>#REF!</v>
      </c>
      <c r="E20" s="204" t="e">
        <f>'Расчет сс '!#REF!</f>
        <v>#REF!</v>
      </c>
    </row>
    <row r="21" spans="1:5" ht="30" x14ac:dyDescent="0.25">
      <c r="A21" s="206">
        <v>19</v>
      </c>
      <c r="B21" s="203" t="s">
        <v>2645</v>
      </c>
      <c r="C21" s="285" t="e">
        <f>SUM('Расчет сс '!#REF!)</f>
        <v>#REF!</v>
      </c>
      <c r="D21" s="204" t="e">
        <f>SUM('Расчет сс '!#REF!)</f>
        <v>#REF!</v>
      </c>
      <c r="E21" s="204" t="e">
        <f>'Расчет сс '!#REF!</f>
        <v>#REF!</v>
      </c>
    </row>
    <row r="22" spans="1:5" ht="30" x14ac:dyDescent="0.25">
      <c r="A22" s="206">
        <v>20</v>
      </c>
      <c r="B22" s="203" t="s">
        <v>2646</v>
      </c>
      <c r="C22" s="285" t="e">
        <f>SUM('Расчет сс '!#REF!)</f>
        <v>#REF!</v>
      </c>
      <c r="D22" s="204" t="e">
        <f>SUM('Расчет сс '!#REF!)</f>
        <v>#REF!</v>
      </c>
      <c r="E22" s="204" t="e">
        <f>'Расчет сс '!#REF!</f>
        <v>#REF!</v>
      </c>
    </row>
    <row r="23" spans="1:5" x14ac:dyDescent="0.25">
      <c r="A23" s="206">
        <v>21</v>
      </c>
      <c r="B23" s="203" t="s">
        <v>2647</v>
      </c>
      <c r="C23" s="285" t="e">
        <f>SUM('Расчет сс '!#REF!)</f>
        <v>#REF!</v>
      </c>
      <c r="D23" s="204" t="e">
        <f>SUM('Расчет сс '!#REF!)</f>
        <v>#REF!</v>
      </c>
      <c r="E23" s="204" t="e">
        <f>'Расчет сс '!#REF!</f>
        <v>#REF!</v>
      </c>
    </row>
    <row r="24" spans="1:5" ht="60" x14ac:dyDescent="0.25">
      <c r="A24" s="206">
        <v>22</v>
      </c>
      <c r="B24" s="203" t="s">
        <v>2725</v>
      </c>
      <c r="C24" s="285" t="e">
        <f>SUM('Расчет сс '!#REF!)</f>
        <v>#REF!</v>
      </c>
      <c r="D24" s="204" t="e">
        <f>SUM('Расчет сс '!#REF!)</f>
        <v>#REF!</v>
      </c>
      <c r="E24" s="204" t="e">
        <f>'Расчет сс '!#REF!</f>
        <v>#REF!</v>
      </c>
    </row>
    <row r="25" spans="1:5" x14ac:dyDescent="0.25">
      <c r="A25" s="206"/>
      <c r="B25" s="203"/>
      <c r="C25" s="204"/>
      <c r="D25" s="204"/>
      <c r="E25" s="204"/>
    </row>
    <row r="26" spans="1:5" x14ac:dyDescent="0.25">
      <c r="A26" s="206"/>
      <c r="B26" s="203" t="s">
        <v>2653</v>
      </c>
      <c r="C26" s="204" t="e">
        <f>SUM(C3:C25)</f>
        <v>#REF!</v>
      </c>
      <c r="D26" s="204" t="e">
        <f>SUM(D3:D25)</f>
        <v>#REF!</v>
      </c>
      <c r="E26" s="204" t="e">
        <f>SUM(E3:E25)</f>
        <v>#REF!</v>
      </c>
    </row>
    <row r="27" spans="1:5" x14ac:dyDescent="0.25">
      <c r="A27" s="206"/>
      <c r="B27" s="203" t="s">
        <v>2651</v>
      </c>
      <c r="C27" s="204" t="e">
        <f>SUM('Расчет сс '!#REF!)</f>
        <v>#REF!</v>
      </c>
      <c r="D27" s="204" t="e">
        <f>SUM('Расчет сс '!#REF!)</f>
        <v>#REF!</v>
      </c>
      <c r="E27" s="204" t="e">
        <f>SUM('Расчет сс '!#REF!)</f>
        <v>#REF!</v>
      </c>
    </row>
    <row r="28" spans="1:5" x14ac:dyDescent="0.25">
      <c r="A28" s="206"/>
      <c r="B28" s="203" t="s">
        <v>2652</v>
      </c>
      <c r="C28" s="204" t="e">
        <f>SUM('Расчет сс '!#REF!)</f>
        <v>#REF!</v>
      </c>
      <c r="D28" s="204" t="e">
        <f>SUM('Расчет сс '!#REF!)</f>
        <v>#REF!</v>
      </c>
      <c r="E28" s="204" t="e">
        <f>C28</f>
        <v>#REF!</v>
      </c>
    </row>
    <row r="29" spans="1:5" x14ac:dyDescent="0.25">
      <c r="A29" s="206"/>
      <c r="B29" s="203" t="s">
        <v>2654</v>
      </c>
      <c r="C29" s="204" t="e">
        <f>SUM(C27:C28)</f>
        <v>#REF!</v>
      </c>
      <c r="D29" s="204" t="e">
        <f>SUM(D27:D28)</f>
        <v>#REF!</v>
      </c>
      <c r="E29" s="204" t="e">
        <f>SUM(E27:E28)</f>
        <v>#REF!</v>
      </c>
    </row>
    <row r="30" spans="1:5" x14ac:dyDescent="0.25">
      <c r="A30" s="206"/>
      <c r="B30" s="203" t="s">
        <v>2655</v>
      </c>
      <c r="C30" s="204" t="e">
        <f>C29+C26</f>
        <v>#REF!</v>
      </c>
      <c r="D30" s="204" t="e">
        <f>D29+D26</f>
        <v>#REF!</v>
      </c>
      <c r="E30" s="204" t="e">
        <f>E29+E26</f>
        <v>#REF!</v>
      </c>
    </row>
  </sheetData>
  <pageMargins left="0.27" right="0.27" top="0.4" bottom="0.41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5"/>
  <sheetViews>
    <sheetView view="pageBreakPreview" zoomScale="80" zoomScaleNormal="60" zoomScaleSheetLayoutView="80" workbookViewId="0">
      <pane xSplit="2" ySplit="10" topLeftCell="M443" activePane="bottomRight" state="frozen"/>
      <selection pane="topRight" activeCell="C1" sqref="C1"/>
      <selection pane="bottomLeft" activeCell="A11" sqref="A11"/>
      <selection pane="bottomRight" activeCell="A108" sqref="A108:XFD110"/>
    </sheetView>
  </sheetViews>
  <sheetFormatPr defaultRowHeight="15.75" x14ac:dyDescent="0.25"/>
  <cols>
    <col min="1" max="1" width="6.7109375" style="207" customWidth="1"/>
    <col min="2" max="2" width="66.7109375" style="271" customWidth="1"/>
    <col min="3" max="3" width="24" style="208" customWidth="1"/>
    <col min="4" max="4" width="16.85546875" style="208" customWidth="1"/>
    <col min="5" max="5" width="16.7109375" style="207" customWidth="1"/>
    <col min="6" max="6" width="19.140625" style="262" customWidth="1"/>
    <col min="7" max="7" width="15.42578125" style="208" customWidth="1"/>
    <col min="8" max="8" width="12.7109375" style="208" customWidth="1"/>
    <col min="9" max="9" width="17.7109375" style="209" customWidth="1"/>
    <col min="10" max="10" width="21" style="209" customWidth="1"/>
    <col min="11" max="11" width="16.28515625" style="208" customWidth="1"/>
    <col min="12" max="12" width="15.7109375" style="208" customWidth="1"/>
    <col min="13" max="13" width="17.85546875" style="209" customWidth="1"/>
    <col min="14" max="14" width="15.85546875" style="209" customWidth="1"/>
    <col min="15" max="15" width="17.42578125" style="207" customWidth="1"/>
    <col min="16" max="16" width="18.140625" style="209" customWidth="1"/>
    <col min="17" max="17" width="17.7109375" style="209" customWidth="1"/>
    <col min="18" max="18" width="23.42578125" customWidth="1"/>
    <col min="19" max="19" width="15.140625" bestFit="1" customWidth="1"/>
    <col min="20" max="20" width="12.5703125" bestFit="1" customWidth="1"/>
  </cols>
  <sheetData>
    <row r="1" spans="1:18" ht="26.25" customHeight="1" x14ac:dyDescent="0.25">
      <c r="A1" s="385" t="s">
        <v>38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</row>
    <row r="2" spans="1:18" hidden="1" x14ac:dyDescent="0.25">
      <c r="A2" s="388" t="s">
        <v>2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</row>
    <row r="3" spans="1:18" ht="75" hidden="1" customHeight="1" x14ac:dyDescent="0.25">
      <c r="A3" s="389" t="s">
        <v>32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</row>
    <row r="4" spans="1:18" ht="15.75" hidden="1" customHeight="1" x14ac:dyDescent="0.25">
      <c r="A4" s="390" t="s">
        <v>47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</row>
    <row r="5" spans="1:18" ht="15.75" hidden="1" customHeight="1" x14ac:dyDescent="0.25">
      <c r="A5" s="390" t="s">
        <v>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</row>
    <row r="6" spans="1:18" hidden="1" x14ac:dyDescent="0.25">
      <c r="L6" s="210"/>
      <c r="Q6" s="214" t="s">
        <v>12</v>
      </c>
    </row>
    <row r="7" spans="1:18" ht="49.5" hidden="1" customHeight="1" x14ac:dyDescent="0.25">
      <c r="A7" s="387" t="s">
        <v>15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</row>
    <row r="8" spans="1:18" hidden="1" x14ac:dyDescent="0.25">
      <c r="A8" s="211"/>
      <c r="B8" s="272"/>
      <c r="C8" s="212"/>
      <c r="D8" s="212"/>
      <c r="E8" s="213"/>
      <c r="F8" s="263"/>
      <c r="G8" s="212"/>
      <c r="H8" s="212"/>
      <c r="I8" s="214"/>
      <c r="J8" s="214"/>
      <c r="K8" s="212"/>
      <c r="L8" s="212"/>
    </row>
    <row r="9" spans="1:18" ht="82.5" customHeight="1" x14ac:dyDescent="0.25">
      <c r="A9" s="215" t="s">
        <v>14</v>
      </c>
      <c r="B9" s="219" t="s">
        <v>0</v>
      </c>
      <c r="C9" s="216" t="s">
        <v>24</v>
      </c>
      <c r="D9" s="216" t="s">
        <v>25</v>
      </c>
      <c r="E9" s="216" t="s">
        <v>22</v>
      </c>
      <c r="F9" s="345" t="s">
        <v>11</v>
      </c>
      <c r="G9" s="217" t="s">
        <v>26</v>
      </c>
      <c r="H9" s="217" t="s">
        <v>27</v>
      </c>
      <c r="I9" s="216" t="s">
        <v>31</v>
      </c>
      <c r="J9" s="216" t="s">
        <v>39</v>
      </c>
      <c r="K9" s="216" t="s">
        <v>28</v>
      </c>
      <c r="L9" s="216" t="s">
        <v>29</v>
      </c>
      <c r="M9" s="216" t="s">
        <v>41</v>
      </c>
      <c r="N9" s="216" t="s">
        <v>40</v>
      </c>
      <c r="O9" s="216" t="s">
        <v>23</v>
      </c>
      <c r="P9" s="216" t="s">
        <v>30</v>
      </c>
      <c r="Q9" s="216" t="s">
        <v>42</v>
      </c>
    </row>
    <row r="10" spans="1:18" ht="15" customHeight="1" x14ac:dyDescent="0.25">
      <c r="A10" s="215">
        <v>1</v>
      </c>
      <c r="B10" s="219">
        <v>2</v>
      </c>
      <c r="C10" s="216">
        <v>3</v>
      </c>
      <c r="D10" s="216">
        <v>4</v>
      </c>
      <c r="E10" s="216">
        <v>5</v>
      </c>
      <c r="F10" s="216">
        <v>6</v>
      </c>
      <c r="G10" s="217">
        <v>7</v>
      </c>
      <c r="H10" s="217">
        <v>8</v>
      </c>
      <c r="I10" s="218">
        <v>9</v>
      </c>
      <c r="J10" s="218">
        <v>10</v>
      </c>
      <c r="K10" s="216">
        <v>11</v>
      </c>
      <c r="L10" s="216">
        <v>12</v>
      </c>
      <c r="M10" s="218">
        <v>13</v>
      </c>
      <c r="N10" s="218">
        <v>14</v>
      </c>
      <c r="O10" s="216">
        <v>15</v>
      </c>
      <c r="P10" s="218">
        <v>16</v>
      </c>
      <c r="Q10" s="218">
        <v>17</v>
      </c>
    </row>
    <row r="11" spans="1:18" ht="54" customHeight="1" x14ac:dyDescent="0.25">
      <c r="A11" s="215">
        <v>1</v>
      </c>
      <c r="B11" s="219" t="s">
        <v>16</v>
      </c>
      <c r="C11" s="216"/>
      <c r="D11" s="216"/>
      <c r="E11" s="216"/>
      <c r="F11" s="345"/>
      <c r="G11" s="217"/>
      <c r="H11" s="217"/>
      <c r="I11" s="218"/>
      <c r="J11" s="218"/>
      <c r="K11" s="216"/>
      <c r="L11" s="216"/>
      <c r="M11" s="275"/>
      <c r="N11" s="275"/>
      <c r="O11" s="276"/>
      <c r="P11" s="275"/>
      <c r="Q11" s="275"/>
    </row>
    <row r="12" spans="1:18" ht="48" customHeight="1" x14ac:dyDescent="0.25">
      <c r="A12" s="215">
        <v>2</v>
      </c>
      <c r="B12" s="219" t="s">
        <v>17</v>
      </c>
      <c r="C12" s="216"/>
      <c r="D12" s="216"/>
      <c r="E12" s="216"/>
      <c r="F12" s="345"/>
      <c r="G12" s="217"/>
      <c r="H12" s="217"/>
      <c r="I12" s="218"/>
      <c r="J12" s="218"/>
      <c r="K12" s="216"/>
      <c r="L12" s="216"/>
      <c r="M12" s="275"/>
      <c r="N12" s="275"/>
      <c r="O12" s="276"/>
      <c r="P12" s="275"/>
      <c r="Q12" s="275"/>
    </row>
    <row r="13" spans="1:18" ht="78.75" customHeight="1" x14ac:dyDescent="0.25">
      <c r="A13" s="215">
        <v>3</v>
      </c>
      <c r="B13" s="307" t="s">
        <v>18</v>
      </c>
      <c r="C13" s="216"/>
      <c r="D13" s="346"/>
      <c r="E13" s="346"/>
      <c r="F13" s="230"/>
      <c r="G13" s="217"/>
      <c r="H13" s="217"/>
      <c r="I13" s="218"/>
      <c r="J13" s="218"/>
      <c r="K13" s="216"/>
      <c r="L13" s="216"/>
      <c r="M13" s="275"/>
      <c r="N13" s="275"/>
      <c r="O13" s="276"/>
      <c r="P13" s="275"/>
      <c r="Q13" s="275"/>
    </row>
    <row r="14" spans="1:18" ht="15.75" customHeight="1" x14ac:dyDescent="0.25">
      <c r="A14" s="447" t="s">
        <v>2831</v>
      </c>
      <c r="B14" s="466" t="s">
        <v>2897</v>
      </c>
      <c r="C14" s="468" t="str">
        <f>'Расчет инвестиций'!C23</f>
        <v>325/13</v>
      </c>
      <c r="D14" s="470">
        <f>'Расчет инвестиций'!D23</f>
        <v>41536</v>
      </c>
      <c r="E14" s="468">
        <v>2</v>
      </c>
      <c r="F14" s="472">
        <v>585000</v>
      </c>
      <c r="G14" s="217">
        <v>9826</v>
      </c>
      <c r="H14" s="221">
        <v>41627</v>
      </c>
      <c r="I14" s="200">
        <v>192500</v>
      </c>
      <c r="J14" s="200">
        <f>I14</f>
        <v>192500</v>
      </c>
      <c r="K14" s="468" t="s">
        <v>67</v>
      </c>
      <c r="L14" s="470">
        <v>41843</v>
      </c>
      <c r="M14" s="478">
        <f>I14+I15+I16+I17+I18+I19</f>
        <v>585000</v>
      </c>
      <c r="N14" s="463">
        <f>M14</f>
        <v>585000</v>
      </c>
      <c r="O14" s="481"/>
      <c r="P14" s="463">
        <f t="shared" ref="P14:Q14" si="0">M14</f>
        <v>585000</v>
      </c>
      <c r="Q14" s="463">
        <f t="shared" si="0"/>
        <v>585000</v>
      </c>
      <c r="R14" s="137"/>
    </row>
    <row r="15" spans="1:18" ht="15.75" customHeight="1" x14ac:dyDescent="0.25">
      <c r="A15" s="448"/>
      <c r="B15" s="484"/>
      <c r="C15" s="476"/>
      <c r="D15" s="477"/>
      <c r="E15" s="476"/>
      <c r="F15" s="485"/>
      <c r="G15" s="217">
        <v>10100</v>
      </c>
      <c r="H15" s="221">
        <v>41638</v>
      </c>
      <c r="I15" s="200">
        <v>12500</v>
      </c>
      <c r="J15" s="200">
        <f t="shared" ref="J15:J17" si="1">I15</f>
        <v>12500</v>
      </c>
      <c r="K15" s="476"/>
      <c r="L15" s="477"/>
      <c r="M15" s="479"/>
      <c r="N15" s="464"/>
      <c r="O15" s="482"/>
      <c r="P15" s="464"/>
      <c r="Q15" s="464"/>
      <c r="R15" s="137"/>
    </row>
    <row r="16" spans="1:18" ht="15.75" customHeight="1" x14ac:dyDescent="0.25">
      <c r="A16" s="448"/>
      <c r="B16" s="484"/>
      <c r="C16" s="476"/>
      <c r="D16" s="477"/>
      <c r="E16" s="476"/>
      <c r="F16" s="485"/>
      <c r="G16" s="217">
        <v>10096</v>
      </c>
      <c r="H16" s="221">
        <v>41638</v>
      </c>
      <c r="I16" s="200">
        <v>50000</v>
      </c>
      <c r="J16" s="200">
        <f t="shared" si="1"/>
        <v>50000</v>
      </c>
      <c r="K16" s="476"/>
      <c r="L16" s="477"/>
      <c r="M16" s="479"/>
      <c r="N16" s="464"/>
      <c r="O16" s="482"/>
      <c r="P16" s="464"/>
      <c r="Q16" s="464"/>
      <c r="R16" s="137"/>
    </row>
    <row r="17" spans="1:19" ht="15.75" customHeight="1" x14ac:dyDescent="0.25">
      <c r="A17" s="448"/>
      <c r="B17" s="484"/>
      <c r="C17" s="476"/>
      <c r="D17" s="477"/>
      <c r="E17" s="476"/>
      <c r="F17" s="485"/>
      <c r="G17" s="217">
        <v>10098</v>
      </c>
      <c r="H17" s="221">
        <v>41638</v>
      </c>
      <c r="I17" s="200">
        <v>37500</v>
      </c>
      <c r="J17" s="200">
        <f t="shared" si="1"/>
        <v>37500</v>
      </c>
      <c r="K17" s="476"/>
      <c r="L17" s="477"/>
      <c r="M17" s="479"/>
      <c r="N17" s="464"/>
      <c r="O17" s="482"/>
      <c r="P17" s="464"/>
      <c r="Q17" s="464"/>
      <c r="R17" s="137"/>
    </row>
    <row r="18" spans="1:19" ht="15.75" customHeight="1" x14ac:dyDescent="0.25">
      <c r="A18" s="448"/>
      <c r="B18" s="484"/>
      <c r="C18" s="476"/>
      <c r="D18" s="477"/>
      <c r="E18" s="476"/>
      <c r="F18" s="485"/>
      <c r="G18" s="217">
        <v>3864</v>
      </c>
      <c r="H18" s="217" t="s">
        <v>2167</v>
      </c>
      <c r="I18" s="200">
        <v>100000</v>
      </c>
      <c r="J18" s="200">
        <f>I18</f>
        <v>100000</v>
      </c>
      <c r="K18" s="476"/>
      <c r="L18" s="477"/>
      <c r="M18" s="479"/>
      <c r="N18" s="464"/>
      <c r="O18" s="482"/>
      <c r="P18" s="464"/>
      <c r="Q18" s="464"/>
      <c r="R18" s="137"/>
      <c r="S18" s="136"/>
    </row>
    <row r="19" spans="1:19" ht="15.75" customHeight="1" x14ac:dyDescent="0.25">
      <c r="A19" s="448"/>
      <c r="B19" s="484"/>
      <c r="C19" s="476"/>
      <c r="D19" s="477"/>
      <c r="E19" s="476"/>
      <c r="F19" s="485"/>
      <c r="G19" s="217">
        <v>4963</v>
      </c>
      <c r="H19" s="221">
        <v>41814</v>
      </c>
      <c r="I19" s="200">
        <v>192500</v>
      </c>
      <c r="J19" s="200">
        <f t="shared" ref="J19:J35" si="2">I19</f>
        <v>192500</v>
      </c>
      <c r="K19" s="469"/>
      <c r="L19" s="471"/>
      <c r="M19" s="480"/>
      <c r="N19" s="465"/>
      <c r="O19" s="483"/>
      <c r="P19" s="465"/>
      <c r="Q19" s="465"/>
      <c r="R19" s="137"/>
    </row>
    <row r="20" spans="1:19" ht="15.75" customHeight="1" x14ac:dyDescent="0.25">
      <c r="A20" s="448"/>
      <c r="B20" s="484"/>
      <c r="C20" s="476"/>
      <c r="D20" s="477"/>
      <c r="E20" s="476"/>
      <c r="F20" s="485"/>
      <c r="G20" s="217">
        <v>4816</v>
      </c>
      <c r="H20" s="221">
        <v>42177</v>
      </c>
      <c r="I20" s="200">
        <v>48000</v>
      </c>
      <c r="J20" s="200">
        <f t="shared" si="2"/>
        <v>48000</v>
      </c>
      <c r="K20" s="216" t="s">
        <v>2195</v>
      </c>
      <c r="L20" s="222">
        <v>42060</v>
      </c>
      <c r="M20" s="200">
        <v>48000</v>
      </c>
      <c r="N20" s="342">
        <f t="shared" ref="N20:N21" si="3">M20</f>
        <v>48000</v>
      </c>
      <c r="O20" s="277"/>
      <c r="P20" s="342">
        <f t="shared" ref="P20:Q21" si="4">M20</f>
        <v>48000</v>
      </c>
      <c r="Q20" s="342">
        <f t="shared" si="4"/>
        <v>48000</v>
      </c>
      <c r="R20" s="137"/>
    </row>
    <row r="21" spans="1:19" ht="15" x14ac:dyDescent="0.25">
      <c r="A21" s="449"/>
      <c r="B21" s="467"/>
      <c r="C21" s="469"/>
      <c r="D21" s="471"/>
      <c r="E21" s="469"/>
      <c r="F21" s="473"/>
      <c r="G21" s="217">
        <v>17871</v>
      </c>
      <c r="H21" s="221">
        <v>42269</v>
      </c>
      <c r="I21" s="200">
        <v>60000</v>
      </c>
      <c r="J21" s="200">
        <f t="shared" si="2"/>
        <v>60000</v>
      </c>
      <c r="K21" s="216" t="s">
        <v>2194</v>
      </c>
      <c r="L21" s="222">
        <v>42254</v>
      </c>
      <c r="M21" s="200">
        <v>60000</v>
      </c>
      <c r="N21" s="342">
        <f t="shared" si="3"/>
        <v>60000</v>
      </c>
      <c r="O21" s="277"/>
      <c r="P21" s="342">
        <f t="shared" si="4"/>
        <v>60000</v>
      </c>
      <c r="Q21" s="342">
        <f t="shared" si="4"/>
        <v>60000</v>
      </c>
      <c r="R21" s="137"/>
    </row>
    <row r="22" spans="1:19" ht="15.75" customHeight="1" x14ac:dyDescent="0.25">
      <c r="A22" s="447" t="s">
        <v>2832</v>
      </c>
      <c r="B22" s="466" t="s">
        <v>2897</v>
      </c>
      <c r="C22" s="468" t="str">
        <f>'Расчет инвестиций'!C32</f>
        <v>354/13</v>
      </c>
      <c r="D22" s="470">
        <f>'Расчет инвестиций'!D32</f>
        <v>41634</v>
      </c>
      <c r="E22" s="468">
        <v>2</v>
      </c>
      <c r="F22" s="472">
        <v>160000</v>
      </c>
      <c r="G22" s="217">
        <v>2608</v>
      </c>
      <c r="H22" s="221">
        <v>41733</v>
      </c>
      <c r="I22" s="200">
        <v>80000</v>
      </c>
      <c r="J22" s="200">
        <f t="shared" si="2"/>
        <v>80000</v>
      </c>
      <c r="K22" s="468" t="s">
        <v>71</v>
      </c>
      <c r="L22" s="470">
        <v>41913</v>
      </c>
      <c r="M22" s="474">
        <f>I22+I23</f>
        <v>160000</v>
      </c>
      <c r="N22" s="463">
        <f>M22</f>
        <v>160000</v>
      </c>
      <c r="O22" s="481"/>
      <c r="P22" s="463">
        <f>M22</f>
        <v>160000</v>
      </c>
      <c r="Q22" s="463">
        <f>N22</f>
        <v>160000</v>
      </c>
      <c r="R22" s="137"/>
    </row>
    <row r="23" spans="1:19" ht="36" customHeight="1" x14ac:dyDescent="0.25">
      <c r="A23" s="449"/>
      <c r="B23" s="467"/>
      <c r="C23" s="469"/>
      <c r="D23" s="471"/>
      <c r="E23" s="469"/>
      <c r="F23" s="473"/>
      <c r="G23" s="217">
        <v>7294</v>
      </c>
      <c r="H23" s="221">
        <v>41879</v>
      </c>
      <c r="I23" s="200">
        <v>80000</v>
      </c>
      <c r="J23" s="200">
        <f t="shared" si="2"/>
        <v>80000</v>
      </c>
      <c r="K23" s="469"/>
      <c r="L23" s="471"/>
      <c r="M23" s="475"/>
      <c r="N23" s="465"/>
      <c r="O23" s="483"/>
      <c r="P23" s="465"/>
      <c r="Q23" s="465"/>
      <c r="R23" s="137"/>
    </row>
    <row r="24" spans="1:19" ht="15.75" customHeight="1" x14ac:dyDescent="0.25">
      <c r="A24" s="447" t="s">
        <v>2833</v>
      </c>
      <c r="B24" s="466" t="s">
        <v>2897</v>
      </c>
      <c r="C24" s="468" t="str">
        <f>'Расчет инвестиций'!C38</f>
        <v>384/14</v>
      </c>
      <c r="D24" s="470">
        <f>'Расчет инвестиций'!D38</f>
        <v>41883</v>
      </c>
      <c r="E24" s="468">
        <v>2</v>
      </c>
      <c r="F24" s="472">
        <v>160000</v>
      </c>
      <c r="G24" s="217">
        <v>8317</v>
      </c>
      <c r="H24" s="221">
        <v>41908</v>
      </c>
      <c r="I24" s="200">
        <v>80000</v>
      </c>
      <c r="J24" s="200">
        <f t="shared" si="2"/>
        <v>80000</v>
      </c>
      <c r="K24" s="468" t="s">
        <v>75</v>
      </c>
      <c r="L24" s="470" t="s">
        <v>2151</v>
      </c>
      <c r="M24" s="478">
        <f>J24+J25</f>
        <v>160000</v>
      </c>
      <c r="N24" s="463">
        <f>M24</f>
        <v>160000</v>
      </c>
      <c r="O24" s="481"/>
      <c r="P24" s="463">
        <f t="shared" ref="P24:Q24" si="5">M24</f>
        <v>160000</v>
      </c>
      <c r="Q24" s="463">
        <f t="shared" si="5"/>
        <v>160000</v>
      </c>
      <c r="R24" s="137"/>
    </row>
    <row r="25" spans="1:19" ht="33.75" customHeight="1" x14ac:dyDescent="0.25">
      <c r="A25" s="449"/>
      <c r="B25" s="467"/>
      <c r="C25" s="469"/>
      <c r="D25" s="471"/>
      <c r="E25" s="469"/>
      <c r="F25" s="473"/>
      <c r="G25" s="217">
        <v>8412</v>
      </c>
      <c r="H25" s="221">
        <v>41913</v>
      </c>
      <c r="I25" s="200">
        <v>80000</v>
      </c>
      <c r="J25" s="200">
        <f t="shared" si="2"/>
        <v>80000</v>
      </c>
      <c r="K25" s="469"/>
      <c r="L25" s="471"/>
      <c r="M25" s="480"/>
      <c r="N25" s="465"/>
      <c r="O25" s="483"/>
      <c r="P25" s="465"/>
      <c r="Q25" s="465"/>
      <c r="R25" s="137"/>
    </row>
    <row r="26" spans="1:19" ht="15.75" customHeight="1" x14ac:dyDescent="0.25">
      <c r="A26" s="447" t="s">
        <v>2834</v>
      </c>
      <c r="B26" s="466" t="s">
        <v>2898</v>
      </c>
      <c r="C26" s="468" t="s">
        <v>2152</v>
      </c>
      <c r="D26" s="470">
        <v>42354</v>
      </c>
      <c r="E26" s="468">
        <v>2</v>
      </c>
      <c r="F26" s="472">
        <v>100000</v>
      </c>
      <c r="G26" s="217">
        <v>21124</v>
      </c>
      <c r="H26" s="221">
        <v>42360</v>
      </c>
      <c r="I26" s="200">
        <v>50000</v>
      </c>
      <c r="J26" s="200">
        <f t="shared" si="2"/>
        <v>50000</v>
      </c>
      <c r="K26" s="468" t="s">
        <v>2186</v>
      </c>
      <c r="L26" s="470">
        <v>42429</v>
      </c>
      <c r="M26" s="478">
        <f>I26+I27</f>
        <v>100000</v>
      </c>
      <c r="N26" s="463">
        <f>J26+J27</f>
        <v>100000</v>
      </c>
      <c r="O26" s="481"/>
      <c r="P26" s="463">
        <f t="shared" ref="P26:Q26" si="6">M26</f>
        <v>100000</v>
      </c>
      <c r="Q26" s="463">
        <f t="shared" si="6"/>
        <v>100000</v>
      </c>
      <c r="R26" s="137"/>
    </row>
    <row r="27" spans="1:19" ht="15.75" customHeight="1" x14ac:dyDescent="0.25">
      <c r="A27" s="449"/>
      <c r="B27" s="467"/>
      <c r="C27" s="469"/>
      <c r="D27" s="471"/>
      <c r="E27" s="469"/>
      <c r="F27" s="473"/>
      <c r="G27" s="217">
        <v>2087</v>
      </c>
      <c r="H27" s="221">
        <v>42439</v>
      </c>
      <c r="I27" s="200">
        <v>50000</v>
      </c>
      <c r="J27" s="200">
        <f t="shared" si="2"/>
        <v>50000</v>
      </c>
      <c r="K27" s="469"/>
      <c r="L27" s="471"/>
      <c r="M27" s="480"/>
      <c r="N27" s="465"/>
      <c r="O27" s="483"/>
      <c r="P27" s="465"/>
      <c r="Q27" s="465"/>
      <c r="R27" s="137"/>
    </row>
    <row r="28" spans="1:19" ht="31.5" x14ac:dyDescent="0.25">
      <c r="A28" s="304" t="s">
        <v>2835</v>
      </c>
      <c r="B28" s="323" t="s">
        <v>2902</v>
      </c>
      <c r="C28" s="216" t="s">
        <v>2153</v>
      </c>
      <c r="D28" s="327">
        <v>42396</v>
      </c>
      <c r="E28" s="315">
        <v>2</v>
      </c>
      <c r="F28" s="223">
        <v>35000</v>
      </c>
      <c r="G28" s="217">
        <v>961</v>
      </c>
      <c r="H28" s="221">
        <v>42410</v>
      </c>
      <c r="I28" s="200">
        <v>35000</v>
      </c>
      <c r="J28" s="200">
        <f t="shared" si="2"/>
        <v>35000</v>
      </c>
      <c r="K28" s="216" t="s">
        <v>2185</v>
      </c>
      <c r="L28" s="222">
        <v>42429</v>
      </c>
      <c r="M28" s="324">
        <f t="shared" ref="M28:N28" si="7">I28</f>
        <v>35000</v>
      </c>
      <c r="N28" s="342">
        <f t="shared" si="7"/>
        <v>35000</v>
      </c>
      <c r="O28" s="277"/>
      <c r="P28" s="342">
        <f t="shared" ref="P28:Q29" si="8">M28</f>
        <v>35000</v>
      </c>
      <c r="Q28" s="342">
        <f t="shared" si="8"/>
        <v>35000</v>
      </c>
      <c r="R28" s="137"/>
    </row>
    <row r="29" spans="1:19" ht="15.75" customHeight="1" x14ac:dyDescent="0.25">
      <c r="A29" s="447" t="s">
        <v>2836</v>
      </c>
      <c r="B29" s="466" t="s">
        <v>2899</v>
      </c>
      <c r="C29" s="476" t="s">
        <v>2154</v>
      </c>
      <c r="D29" s="470">
        <v>42472</v>
      </c>
      <c r="E29" s="468">
        <v>2</v>
      </c>
      <c r="F29" s="472">
        <v>348000</v>
      </c>
      <c r="G29" s="217">
        <v>3861</v>
      </c>
      <c r="H29" s="221">
        <v>42488</v>
      </c>
      <c r="I29" s="200">
        <v>174000</v>
      </c>
      <c r="J29" s="200">
        <f t="shared" si="2"/>
        <v>174000</v>
      </c>
      <c r="K29" s="468" t="s">
        <v>2189</v>
      </c>
      <c r="L29" s="470">
        <v>42592</v>
      </c>
      <c r="M29" s="478">
        <f>I29+I30</f>
        <v>348000</v>
      </c>
      <c r="N29" s="463">
        <f>J29+J30</f>
        <v>348000</v>
      </c>
      <c r="O29" s="481"/>
      <c r="P29" s="463">
        <f t="shared" si="8"/>
        <v>348000</v>
      </c>
      <c r="Q29" s="463">
        <f t="shared" si="8"/>
        <v>348000</v>
      </c>
      <c r="R29" s="137"/>
    </row>
    <row r="30" spans="1:19" ht="15.75" customHeight="1" x14ac:dyDescent="0.25">
      <c r="A30" s="449"/>
      <c r="B30" s="467"/>
      <c r="C30" s="469"/>
      <c r="D30" s="471"/>
      <c r="E30" s="469"/>
      <c r="F30" s="473"/>
      <c r="G30" s="217">
        <v>14543</v>
      </c>
      <c r="H30" s="217" t="s">
        <v>2155</v>
      </c>
      <c r="I30" s="200">
        <v>174000</v>
      </c>
      <c r="J30" s="200">
        <f t="shared" si="2"/>
        <v>174000</v>
      </c>
      <c r="K30" s="469"/>
      <c r="L30" s="471"/>
      <c r="M30" s="480"/>
      <c r="N30" s="465"/>
      <c r="O30" s="483"/>
      <c r="P30" s="465"/>
      <c r="Q30" s="465"/>
      <c r="R30" s="137"/>
    </row>
    <row r="31" spans="1:19" ht="15.75" customHeight="1" x14ac:dyDescent="0.25">
      <c r="A31" s="447" t="s">
        <v>2837</v>
      </c>
      <c r="B31" s="486" t="s">
        <v>2900</v>
      </c>
      <c r="C31" s="468" t="s">
        <v>615</v>
      </c>
      <c r="D31" s="470">
        <v>42444</v>
      </c>
      <c r="E31" s="468">
        <v>2</v>
      </c>
      <c r="F31" s="472">
        <v>200000</v>
      </c>
      <c r="G31" s="217">
        <v>2893</v>
      </c>
      <c r="H31" s="221">
        <v>42461</v>
      </c>
      <c r="I31" s="200">
        <v>60000</v>
      </c>
      <c r="J31" s="200">
        <f t="shared" si="2"/>
        <v>60000</v>
      </c>
      <c r="K31" s="468" t="s">
        <v>2190</v>
      </c>
      <c r="L31" s="470">
        <v>42592</v>
      </c>
      <c r="M31" s="478">
        <f>I31+I32</f>
        <v>200000</v>
      </c>
      <c r="N31" s="463">
        <f>J31+J32</f>
        <v>200000</v>
      </c>
      <c r="O31" s="481"/>
      <c r="P31" s="463">
        <f t="shared" ref="P31:Q31" si="9">M31</f>
        <v>200000</v>
      </c>
      <c r="Q31" s="463">
        <f t="shared" si="9"/>
        <v>200000</v>
      </c>
      <c r="R31" s="137"/>
    </row>
    <row r="32" spans="1:19" ht="15.75" customHeight="1" x14ac:dyDescent="0.25">
      <c r="A32" s="449"/>
      <c r="B32" s="487"/>
      <c r="C32" s="476"/>
      <c r="D32" s="477"/>
      <c r="E32" s="469"/>
      <c r="F32" s="473"/>
      <c r="G32" s="217">
        <v>14542</v>
      </c>
      <c r="H32" s="217" t="s">
        <v>2155</v>
      </c>
      <c r="I32" s="200">
        <v>140000</v>
      </c>
      <c r="J32" s="200">
        <f t="shared" si="2"/>
        <v>140000</v>
      </c>
      <c r="K32" s="469"/>
      <c r="L32" s="471"/>
      <c r="M32" s="480"/>
      <c r="N32" s="465"/>
      <c r="O32" s="483"/>
      <c r="P32" s="465"/>
      <c r="Q32" s="465"/>
      <c r="R32" s="137"/>
    </row>
    <row r="33" spans="1:18" ht="15.75" customHeight="1" x14ac:dyDescent="0.25">
      <c r="A33" s="306" t="s">
        <v>2838</v>
      </c>
      <c r="B33" s="348" t="s">
        <v>2900</v>
      </c>
      <c r="C33" s="216" t="s">
        <v>2156</v>
      </c>
      <c r="D33" s="222">
        <v>42444</v>
      </c>
      <c r="E33" s="315">
        <v>2</v>
      </c>
      <c r="F33" s="223">
        <v>80000</v>
      </c>
      <c r="G33" s="217">
        <v>13093</v>
      </c>
      <c r="H33" s="221">
        <v>42572</v>
      </c>
      <c r="I33" s="200">
        <v>80000</v>
      </c>
      <c r="J33" s="200">
        <f t="shared" si="2"/>
        <v>80000</v>
      </c>
      <c r="K33" s="216" t="s">
        <v>2191</v>
      </c>
      <c r="L33" s="222">
        <v>42639</v>
      </c>
      <c r="M33" s="200">
        <f>I33</f>
        <v>80000</v>
      </c>
      <c r="N33" s="342">
        <f t="shared" ref="N33" si="10">J33</f>
        <v>80000</v>
      </c>
      <c r="O33" s="277"/>
      <c r="P33" s="342">
        <f t="shared" ref="P33:Q34" si="11">M33</f>
        <v>80000</v>
      </c>
      <c r="Q33" s="342">
        <f t="shared" si="11"/>
        <v>80000</v>
      </c>
      <c r="R33" s="137"/>
    </row>
    <row r="34" spans="1:18" ht="15.75" customHeight="1" x14ac:dyDescent="0.25">
      <c r="A34" s="447" t="s">
        <v>2839</v>
      </c>
      <c r="B34" s="466" t="s">
        <v>2901</v>
      </c>
      <c r="C34" s="468" t="s">
        <v>2157</v>
      </c>
      <c r="D34" s="470">
        <v>42472</v>
      </c>
      <c r="E34" s="468">
        <v>2</v>
      </c>
      <c r="F34" s="472">
        <v>541000</v>
      </c>
      <c r="G34" s="217">
        <v>3860</v>
      </c>
      <c r="H34" s="221">
        <v>42488</v>
      </c>
      <c r="I34" s="200">
        <v>270500</v>
      </c>
      <c r="J34" s="200">
        <f t="shared" si="2"/>
        <v>270500</v>
      </c>
      <c r="K34" s="468" t="s">
        <v>2177</v>
      </c>
      <c r="L34" s="470">
        <v>42510</v>
      </c>
      <c r="M34" s="474">
        <f>I34+I35</f>
        <v>541000</v>
      </c>
      <c r="N34" s="463">
        <f>J34+J35</f>
        <v>541000</v>
      </c>
      <c r="O34" s="481"/>
      <c r="P34" s="463">
        <f t="shared" si="11"/>
        <v>541000</v>
      </c>
      <c r="Q34" s="463">
        <f t="shared" si="11"/>
        <v>541000</v>
      </c>
      <c r="R34" s="137"/>
    </row>
    <row r="35" spans="1:18" ht="15.75" customHeight="1" x14ac:dyDescent="0.25">
      <c r="A35" s="449"/>
      <c r="B35" s="467"/>
      <c r="C35" s="469"/>
      <c r="D35" s="471"/>
      <c r="E35" s="469"/>
      <c r="F35" s="473"/>
      <c r="G35" s="217">
        <v>11932</v>
      </c>
      <c r="H35" s="221">
        <v>42543</v>
      </c>
      <c r="I35" s="200">
        <v>270500</v>
      </c>
      <c r="J35" s="200">
        <f t="shared" si="2"/>
        <v>270500</v>
      </c>
      <c r="K35" s="469"/>
      <c r="L35" s="471"/>
      <c r="M35" s="475"/>
      <c r="N35" s="465"/>
      <c r="O35" s="483"/>
      <c r="P35" s="465"/>
      <c r="Q35" s="465"/>
      <c r="R35" s="137"/>
    </row>
    <row r="36" spans="1:18" s="7" customFormat="1" ht="47.25" x14ac:dyDescent="0.25">
      <c r="A36" s="304" t="s">
        <v>2840</v>
      </c>
      <c r="B36" s="219" t="s">
        <v>2903</v>
      </c>
      <c r="C36" s="216" t="s">
        <v>2170</v>
      </c>
      <c r="D36" s="320" t="s">
        <v>2171</v>
      </c>
      <c r="E36" s="346" t="s">
        <v>2814</v>
      </c>
      <c r="F36" s="223">
        <f>J36</f>
        <v>86000</v>
      </c>
      <c r="G36" s="217">
        <v>16414</v>
      </c>
      <c r="H36" s="221">
        <v>42662</v>
      </c>
      <c r="I36" s="200">
        <f>J36</f>
        <v>86000</v>
      </c>
      <c r="J36" s="200">
        <v>86000</v>
      </c>
      <c r="K36" s="216" t="s">
        <v>50</v>
      </c>
      <c r="L36" s="222">
        <v>42653</v>
      </c>
      <c r="M36" s="200">
        <v>86000</v>
      </c>
      <c r="N36" s="200">
        <f>M36</f>
        <v>86000</v>
      </c>
      <c r="O36" s="277"/>
      <c r="P36" s="200">
        <f t="shared" ref="P36:Q51" si="12">M36</f>
        <v>86000</v>
      </c>
      <c r="Q36" s="200">
        <f t="shared" si="12"/>
        <v>86000</v>
      </c>
      <c r="R36" s="137"/>
    </row>
    <row r="37" spans="1:18" s="7" customFormat="1" ht="47.25" x14ac:dyDescent="0.25">
      <c r="A37" s="304" t="s">
        <v>2841</v>
      </c>
      <c r="B37" s="219" t="s">
        <v>2904</v>
      </c>
      <c r="C37" s="320" t="s">
        <v>2726</v>
      </c>
      <c r="D37" s="320" t="s">
        <v>2727</v>
      </c>
      <c r="E37" s="346" t="s">
        <v>2814</v>
      </c>
      <c r="F37" s="223">
        <v>12000</v>
      </c>
      <c r="G37" s="217">
        <v>719</v>
      </c>
      <c r="H37" s="221">
        <v>42811</v>
      </c>
      <c r="I37" s="200">
        <v>12000</v>
      </c>
      <c r="J37" s="200">
        <f>I37</f>
        <v>12000</v>
      </c>
      <c r="K37" s="346" t="s">
        <v>2193</v>
      </c>
      <c r="L37" s="222">
        <v>42825</v>
      </c>
      <c r="M37" s="200">
        <v>12000</v>
      </c>
      <c r="N37" s="200">
        <f>M37</f>
        <v>12000</v>
      </c>
      <c r="O37" s="277"/>
      <c r="P37" s="200">
        <f t="shared" si="12"/>
        <v>12000</v>
      </c>
      <c r="Q37" s="200">
        <f t="shared" si="12"/>
        <v>12000</v>
      </c>
      <c r="R37" s="137"/>
    </row>
    <row r="38" spans="1:18" s="7" customFormat="1" ht="47.25" x14ac:dyDescent="0.25">
      <c r="A38" s="304" t="s">
        <v>2842</v>
      </c>
      <c r="B38" s="219" t="s">
        <v>2905</v>
      </c>
      <c r="C38" s="320" t="s">
        <v>2192</v>
      </c>
      <c r="D38" s="320" t="s">
        <v>165</v>
      </c>
      <c r="E38" s="346" t="s">
        <v>2814</v>
      </c>
      <c r="F38" s="223">
        <v>25000</v>
      </c>
      <c r="G38" s="217">
        <v>29953</v>
      </c>
      <c r="H38" s="221">
        <v>42811</v>
      </c>
      <c r="I38" s="200">
        <v>25000</v>
      </c>
      <c r="J38" s="200">
        <f>I38</f>
        <v>25000</v>
      </c>
      <c r="K38" s="346" t="s">
        <v>2192</v>
      </c>
      <c r="L38" s="222">
        <v>42825</v>
      </c>
      <c r="M38" s="200">
        <v>25000</v>
      </c>
      <c r="N38" s="200">
        <f>M38</f>
        <v>25000</v>
      </c>
      <c r="O38" s="277"/>
      <c r="P38" s="200">
        <f t="shared" si="12"/>
        <v>25000</v>
      </c>
      <c r="Q38" s="200">
        <f t="shared" si="12"/>
        <v>25000</v>
      </c>
      <c r="R38" s="137"/>
    </row>
    <row r="39" spans="1:18" s="7" customFormat="1" ht="31.5" x14ac:dyDescent="0.25">
      <c r="A39" s="215" t="s">
        <v>2843</v>
      </c>
      <c r="B39" s="219" t="s">
        <v>2906</v>
      </c>
      <c r="C39" s="315" t="s">
        <v>2176</v>
      </c>
      <c r="D39" s="320" t="s">
        <v>609</v>
      </c>
      <c r="E39" s="346" t="s">
        <v>2814</v>
      </c>
      <c r="F39" s="223">
        <f>I39</f>
        <v>250380</v>
      </c>
      <c r="G39" s="217">
        <v>17930</v>
      </c>
      <c r="H39" s="221">
        <v>42695</v>
      </c>
      <c r="I39" s="200">
        <f>J39</f>
        <v>250380</v>
      </c>
      <c r="J39" s="200">
        <v>250380</v>
      </c>
      <c r="K39" s="216">
        <v>25</v>
      </c>
      <c r="L39" s="222">
        <v>42660</v>
      </c>
      <c r="M39" s="200">
        <v>250380</v>
      </c>
      <c r="N39" s="200">
        <f>M39</f>
        <v>250380</v>
      </c>
      <c r="O39" s="277"/>
      <c r="P39" s="200">
        <f>M39</f>
        <v>250380</v>
      </c>
      <c r="Q39" s="200">
        <f t="shared" si="12"/>
        <v>250380</v>
      </c>
      <c r="R39" s="137"/>
    </row>
    <row r="40" spans="1:18" s="7" customFormat="1" ht="31.5" x14ac:dyDescent="0.25">
      <c r="A40" s="215" t="s">
        <v>2844</v>
      </c>
      <c r="B40" s="219" t="s">
        <v>2907</v>
      </c>
      <c r="C40" s="315" t="s">
        <v>2196</v>
      </c>
      <c r="D40" s="320" t="s">
        <v>2197</v>
      </c>
      <c r="E40" s="346" t="s">
        <v>2814</v>
      </c>
      <c r="F40" s="223">
        <f>I40</f>
        <v>26204</v>
      </c>
      <c r="G40" s="217">
        <v>16410</v>
      </c>
      <c r="H40" s="221">
        <v>42661</v>
      </c>
      <c r="I40" s="200">
        <f>J40</f>
        <v>26204</v>
      </c>
      <c r="J40" s="200">
        <v>26204</v>
      </c>
      <c r="K40" s="216">
        <v>67</v>
      </c>
      <c r="L40" s="216" t="s">
        <v>2158</v>
      </c>
      <c r="M40" s="200">
        <f>I40</f>
        <v>26204</v>
      </c>
      <c r="N40" s="200">
        <f t="shared" ref="N40" si="13">M40*1.18</f>
        <v>30920.719999999998</v>
      </c>
      <c r="O40" s="277"/>
      <c r="P40" s="200">
        <f t="shared" ref="P40:P46" si="14">M40</f>
        <v>26204</v>
      </c>
      <c r="Q40" s="200">
        <f t="shared" si="12"/>
        <v>30920.719999999998</v>
      </c>
      <c r="R40" s="137"/>
    </row>
    <row r="41" spans="1:18" ht="31.5" x14ac:dyDescent="0.25">
      <c r="A41" s="215" t="s">
        <v>2845</v>
      </c>
      <c r="B41" s="219" t="s">
        <v>2908</v>
      </c>
      <c r="C41" s="315" t="s">
        <v>2728</v>
      </c>
      <c r="D41" s="320" t="s">
        <v>2729</v>
      </c>
      <c r="E41" s="346" t="s">
        <v>2814</v>
      </c>
      <c r="F41" s="223">
        <v>500000</v>
      </c>
      <c r="G41" s="217">
        <v>3666</v>
      </c>
      <c r="H41" s="221">
        <v>41772</v>
      </c>
      <c r="I41" s="200">
        <v>423728.81355932204</v>
      </c>
      <c r="J41" s="200">
        <f>I41*1.18</f>
        <v>500000</v>
      </c>
      <c r="K41" s="216">
        <v>419</v>
      </c>
      <c r="L41" s="216" t="s">
        <v>2159</v>
      </c>
      <c r="M41" s="200">
        <f>I41</f>
        <v>423728.81355932204</v>
      </c>
      <c r="N41" s="200">
        <f>J41</f>
        <v>500000</v>
      </c>
      <c r="O41" s="276"/>
      <c r="P41" s="200">
        <f t="shared" si="14"/>
        <v>423728.81355932204</v>
      </c>
      <c r="Q41" s="200">
        <f t="shared" si="12"/>
        <v>500000</v>
      </c>
      <c r="R41" s="137"/>
    </row>
    <row r="42" spans="1:18" ht="15.75" customHeight="1" x14ac:dyDescent="0.25">
      <c r="A42" s="447" t="s">
        <v>2846</v>
      </c>
      <c r="B42" s="466" t="s">
        <v>2909</v>
      </c>
      <c r="C42" s="468" t="s">
        <v>2730</v>
      </c>
      <c r="D42" s="488" t="s">
        <v>2168</v>
      </c>
      <c r="E42" s="488" t="s">
        <v>2814</v>
      </c>
      <c r="F42" s="472">
        <v>90000</v>
      </c>
      <c r="G42" s="217">
        <v>17352</v>
      </c>
      <c r="H42" s="221">
        <v>42255</v>
      </c>
      <c r="I42" s="200">
        <v>38135.593220338982</v>
      </c>
      <c r="J42" s="200">
        <f t="shared" ref="J42:J48" si="15">I42*1.18</f>
        <v>45000</v>
      </c>
      <c r="K42" s="468">
        <v>389</v>
      </c>
      <c r="L42" s="470">
        <v>42293</v>
      </c>
      <c r="M42" s="474">
        <f>I42+I43</f>
        <v>76271.186440677964</v>
      </c>
      <c r="N42" s="474">
        <f>J42+J43</f>
        <v>90000</v>
      </c>
      <c r="O42" s="481"/>
      <c r="P42" s="474">
        <f t="shared" si="14"/>
        <v>76271.186440677964</v>
      </c>
      <c r="Q42" s="474">
        <f t="shared" si="12"/>
        <v>90000</v>
      </c>
      <c r="R42" s="137"/>
    </row>
    <row r="43" spans="1:18" ht="15.75" customHeight="1" x14ac:dyDescent="0.25">
      <c r="A43" s="449"/>
      <c r="B43" s="467"/>
      <c r="C43" s="469"/>
      <c r="D43" s="489"/>
      <c r="E43" s="489"/>
      <c r="F43" s="473"/>
      <c r="G43" s="217">
        <v>17388</v>
      </c>
      <c r="H43" s="221">
        <v>42256</v>
      </c>
      <c r="I43" s="200">
        <v>38135.593220338982</v>
      </c>
      <c r="J43" s="200">
        <f t="shared" si="15"/>
        <v>45000</v>
      </c>
      <c r="K43" s="469"/>
      <c r="L43" s="471"/>
      <c r="M43" s="475"/>
      <c r="N43" s="475"/>
      <c r="O43" s="483"/>
      <c r="P43" s="475"/>
      <c r="Q43" s="475"/>
      <c r="R43" s="137"/>
    </row>
    <row r="44" spans="1:18" ht="31.5" x14ac:dyDescent="0.25">
      <c r="A44" s="215" t="s">
        <v>2847</v>
      </c>
      <c r="B44" s="351" t="s">
        <v>2908</v>
      </c>
      <c r="C44" s="315" t="s">
        <v>2169</v>
      </c>
      <c r="D44" s="346" t="s">
        <v>671</v>
      </c>
      <c r="E44" s="346" t="s">
        <v>2814</v>
      </c>
      <c r="F44" s="223">
        <f>J44</f>
        <v>80000</v>
      </c>
      <c r="G44" s="217">
        <v>11933</v>
      </c>
      <c r="H44" s="221">
        <v>42543</v>
      </c>
      <c r="I44" s="200">
        <v>67796.610169491527</v>
      </c>
      <c r="J44" s="200">
        <f t="shared" si="15"/>
        <v>80000</v>
      </c>
      <c r="K44" s="216">
        <v>86</v>
      </c>
      <c r="L44" s="222">
        <v>42583</v>
      </c>
      <c r="M44" s="200">
        <f t="shared" ref="M44:N45" si="16">I44</f>
        <v>67796.610169491527</v>
      </c>
      <c r="N44" s="200">
        <f t="shared" si="16"/>
        <v>80000</v>
      </c>
      <c r="O44" s="277"/>
      <c r="P44" s="200">
        <f t="shared" si="14"/>
        <v>67796.610169491527</v>
      </c>
      <c r="Q44" s="200">
        <f t="shared" si="12"/>
        <v>80000</v>
      </c>
      <c r="R44" s="137"/>
    </row>
    <row r="45" spans="1:18" ht="31.5" x14ac:dyDescent="0.25">
      <c r="A45" s="306" t="s">
        <v>2848</v>
      </c>
      <c r="B45" s="351" t="s">
        <v>2908</v>
      </c>
      <c r="C45" s="315" t="s">
        <v>2226</v>
      </c>
      <c r="D45" s="312"/>
      <c r="E45" s="346" t="s">
        <v>2814</v>
      </c>
      <c r="F45" s="223"/>
      <c r="G45" s="217">
        <v>18892</v>
      </c>
      <c r="H45" s="221">
        <v>42718</v>
      </c>
      <c r="I45" s="200">
        <v>33898.305084745763</v>
      </c>
      <c r="J45" s="200">
        <f t="shared" si="15"/>
        <v>40000</v>
      </c>
      <c r="K45" s="216">
        <v>212</v>
      </c>
      <c r="L45" s="222">
        <v>42725</v>
      </c>
      <c r="M45" s="200">
        <f t="shared" si="16"/>
        <v>33898.305084745763</v>
      </c>
      <c r="N45" s="200">
        <f t="shared" si="16"/>
        <v>40000</v>
      </c>
      <c r="O45" s="277"/>
      <c r="P45" s="200">
        <f t="shared" si="14"/>
        <v>33898.305084745763</v>
      </c>
      <c r="Q45" s="200">
        <f t="shared" si="12"/>
        <v>40000</v>
      </c>
      <c r="R45" s="137"/>
    </row>
    <row r="46" spans="1:18" ht="15" x14ac:dyDescent="0.25">
      <c r="A46" s="447" t="s">
        <v>2849</v>
      </c>
      <c r="B46" s="466" t="s">
        <v>2910</v>
      </c>
      <c r="C46" s="468" t="s">
        <v>2705</v>
      </c>
      <c r="D46" s="488" t="s">
        <v>1083</v>
      </c>
      <c r="E46" s="488" t="s">
        <v>2814</v>
      </c>
      <c r="F46" s="472">
        <v>159600</v>
      </c>
      <c r="G46" s="217">
        <v>6057</v>
      </c>
      <c r="H46" s="221">
        <v>41844</v>
      </c>
      <c r="I46" s="200">
        <v>67627.118644067799</v>
      </c>
      <c r="J46" s="200">
        <f t="shared" si="15"/>
        <v>79800</v>
      </c>
      <c r="K46" s="468">
        <v>1</v>
      </c>
      <c r="L46" s="468" t="s">
        <v>2160</v>
      </c>
      <c r="M46" s="474">
        <f>I46+I47</f>
        <v>135254.2372881356</v>
      </c>
      <c r="N46" s="474">
        <f>J46+J47</f>
        <v>159600</v>
      </c>
      <c r="O46" s="481"/>
      <c r="P46" s="474">
        <f t="shared" si="14"/>
        <v>135254.2372881356</v>
      </c>
      <c r="Q46" s="474">
        <f t="shared" si="12"/>
        <v>159600</v>
      </c>
      <c r="R46" s="137"/>
    </row>
    <row r="47" spans="1:18" ht="15" x14ac:dyDescent="0.25">
      <c r="A47" s="449"/>
      <c r="B47" s="467"/>
      <c r="C47" s="469"/>
      <c r="D47" s="489"/>
      <c r="E47" s="489"/>
      <c r="F47" s="473"/>
      <c r="G47" s="217">
        <v>6753</v>
      </c>
      <c r="H47" s="221">
        <v>41864</v>
      </c>
      <c r="I47" s="200">
        <v>67627.118644067799</v>
      </c>
      <c r="J47" s="200">
        <f t="shared" si="15"/>
        <v>79800</v>
      </c>
      <c r="K47" s="469"/>
      <c r="L47" s="469"/>
      <c r="M47" s="475"/>
      <c r="N47" s="475"/>
      <c r="O47" s="483"/>
      <c r="P47" s="475"/>
      <c r="Q47" s="475"/>
      <c r="R47" s="137"/>
    </row>
    <row r="48" spans="1:18" ht="31.5" x14ac:dyDescent="0.25">
      <c r="A48" s="304" t="s">
        <v>2850</v>
      </c>
      <c r="B48" s="319" t="s">
        <v>2911</v>
      </c>
      <c r="C48" s="315">
        <v>13</v>
      </c>
      <c r="D48" s="320" t="s">
        <v>2731</v>
      </c>
      <c r="E48" s="346" t="s">
        <v>2814</v>
      </c>
      <c r="F48" s="223">
        <v>70000</v>
      </c>
      <c r="G48" s="217">
        <v>7516</v>
      </c>
      <c r="H48" s="221">
        <v>41885</v>
      </c>
      <c r="I48" s="200">
        <v>59322.03389830509</v>
      </c>
      <c r="J48" s="200">
        <f t="shared" si="15"/>
        <v>70000</v>
      </c>
      <c r="K48" s="216">
        <v>1</v>
      </c>
      <c r="L48" s="216" t="s">
        <v>2161</v>
      </c>
      <c r="M48" s="200">
        <f>I48</f>
        <v>59322.03389830509</v>
      </c>
      <c r="N48" s="200">
        <f t="shared" ref="N48:N51" si="17">J48</f>
        <v>70000</v>
      </c>
      <c r="O48" s="343"/>
      <c r="P48" s="200">
        <f>M48</f>
        <v>59322.03389830509</v>
      </c>
      <c r="Q48" s="200">
        <f t="shared" si="12"/>
        <v>70000</v>
      </c>
      <c r="R48" s="137"/>
    </row>
    <row r="49" spans="1:18" ht="15" x14ac:dyDescent="0.25">
      <c r="A49" s="447" t="s">
        <v>2851</v>
      </c>
      <c r="B49" s="466" t="s">
        <v>2912</v>
      </c>
      <c r="C49" s="488" t="s">
        <v>632</v>
      </c>
      <c r="D49" s="488" t="s">
        <v>631</v>
      </c>
      <c r="E49" s="488" t="s">
        <v>2814</v>
      </c>
      <c r="F49" s="488"/>
      <c r="G49" s="217">
        <v>17208</v>
      </c>
      <c r="H49" s="221">
        <v>42251</v>
      </c>
      <c r="I49" s="200">
        <v>185292</v>
      </c>
      <c r="J49" s="200">
        <f>I49</f>
        <v>185292</v>
      </c>
      <c r="K49" s="216" t="s">
        <v>2181</v>
      </c>
      <c r="L49" s="222">
        <v>42003</v>
      </c>
      <c r="M49" s="200">
        <f>I49</f>
        <v>185292</v>
      </c>
      <c r="N49" s="200">
        <f t="shared" si="17"/>
        <v>185292</v>
      </c>
      <c r="O49" s="343"/>
      <c r="P49" s="200">
        <f>M49</f>
        <v>185292</v>
      </c>
      <c r="Q49" s="200">
        <f t="shared" si="12"/>
        <v>185292</v>
      </c>
      <c r="R49" s="137"/>
    </row>
    <row r="50" spans="1:18" ht="15.75" customHeight="1" x14ac:dyDescent="0.25">
      <c r="A50" s="448"/>
      <c r="B50" s="484"/>
      <c r="C50" s="493"/>
      <c r="D50" s="493"/>
      <c r="E50" s="493"/>
      <c r="F50" s="493"/>
      <c r="G50" s="217">
        <v>18001</v>
      </c>
      <c r="H50" s="221">
        <v>42271</v>
      </c>
      <c r="I50" s="200">
        <v>452381</v>
      </c>
      <c r="J50" s="200">
        <f>I50</f>
        <v>452381</v>
      </c>
      <c r="K50" s="216" t="s">
        <v>2182</v>
      </c>
      <c r="L50" s="222">
        <v>42124</v>
      </c>
      <c r="M50" s="200">
        <v>452381</v>
      </c>
      <c r="N50" s="200">
        <f t="shared" si="17"/>
        <v>452381</v>
      </c>
      <c r="O50" s="343"/>
      <c r="P50" s="200">
        <f>M50</f>
        <v>452381</v>
      </c>
      <c r="Q50" s="200">
        <f t="shared" si="12"/>
        <v>452381</v>
      </c>
      <c r="R50" s="137"/>
    </row>
    <row r="51" spans="1:18" s="7" customFormat="1" ht="15.75" customHeight="1" x14ac:dyDescent="0.25">
      <c r="A51" s="448"/>
      <c r="B51" s="484"/>
      <c r="C51" s="493"/>
      <c r="D51" s="493"/>
      <c r="E51" s="493"/>
      <c r="F51" s="493"/>
      <c r="G51" s="217">
        <v>21128</v>
      </c>
      <c r="H51" s="221">
        <v>42360</v>
      </c>
      <c r="I51" s="200">
        <f>J51</f>
        <v>905202</v>
      </c>
      <c r="J51" s="200">
        <f>M51</f>
        <v>905202</v>
      </c>
      <c r="K51" s="216" t="s">
        <v>2183</v>
      </c>
      <c r="L51" s="216" t="s">
        <v>2162</v>
      </c>
      <c r="M51" s="200">
        <v>905202</v>
      </c>
      <c r="N51" s="200">
        <f t="shared" si="17"/>
        <v>905202</v>
      </c>
      <c r="O51" s="343"/>
      <c r="P51" s="200">
        <f t="shared" ref="P51:Q65" si="18">M51</f>
        <v>905202</v>
      </c>
      <c r="Q51" s="200">
        <f t="shared" si="12"/>
        <v>905202</v>
      </c>
      <c r="R51" s="139"/>
    </row>
    <row r="52" spans="1:18" ht="15" customHeight="1" x14ac:dyDescent="0.25">
      <c r="A52" s="448"/>
      <c r="B52" s="484"/>
      <c r="C52" s="493"/>
      <c r="D52" s="493"/>
      <c r="E52" s="493"/>
      <c r="F52" s="493"/>
      <c r="G52" s="217">
        <v>20731</v>
      </c>
      <c r="H52" s="221">
        <v>42349</v>
      </c>
      <c r="I52" s="200">
        <v>524505</v>
      </c>
      <c r="J52" s="200">
        <f>I52</f>
        <v>524505</v>
      </c>
      <c r="K52" s="216" t="s">
        <v>2175</v>
      </c>
      <c r="L52" s="222">
        <v>42318</v>
      </c>
      <c r="M52" s="200">
        <f>I52</f>
        <v>524505</v>
      </c>
      <c r="N52" s="200">
        <f t="shared" ref="N52:N57" si="19">M52</f>
        <v>524505</v>
      </c>
      <c r="O52" s="343"/>
      <c r="P52" s="200">
        <f t="shared" si="18"/>
        <v>524505</v>
      </c>
      <c r="Q52" s="200">
        <f t="shared" si="18"/>
        <v>524505</v>
      </c>
      <c r="R52" s="137"/>
    </row>
    <row r="53" spans="1:18" ht="15" customHeight="1" x14ac:dyDescent="0.25">
      <c r="A53" s="448"/>
      <c r="B53" s="484"/>
      <c r="C53" s="493"/>
      <c r="D53" s="493"/>
      <c r="E53" s="493"/>
      <c r="F53" s="493"/>
      <c r="G53" s="217">
        <v>20730</v>
      </c>
      <c r="H53" s="221">
        <v>42349</v>
      </c>
      <c r="I53" s="200">
        <v>1777230</v>
      </c>
      <c r="J53" s="200">
        <f>I53</f>
        <v>1777230</v>
      </c>
      <c r="K53" s="216" t="s">
        <v>2172</v>
      </c>
      <c r="L53" s="222">
        <v>42318</v>
      </c>
      <c r="M53" s="200">
        <f>I53</f>
        <v>1777230</v>
      </c>
      <c r="N53" s="200">
        <f t="shared" si="19"/>
        <v>1777230</v>
      </c>
      <c r="O53" s="343"/>
      <c r="P53" s="200">
        <f t="shared" si="18"/>
        <v>1777230</v>
      </c>
      <c r="Q53" s="200">
        <f t="shared" si="18"/>
        <v>1777230</v>
      </c>
      <c r="R53" s="137"/>
    </row>
    <row r="54" spans="1:18" ht="15" customHeight="1" x14ac:dyDescent="0.25">
      <c r="A54" s="448"/>
      <c r="B54" s="484"/>
      <c r="C54" s="493"/>
      <c r="D54" s="493"/>
      <c r="E54" s="493"/>
      <c r="F54" s="493"/>
      <c r="G54" s="490">
        <v>21128</v>
      </c>
      <c r="H54" s="490" t="s">
        <v>2163</v>
      </c>
      <c r="I54" s="474">
        <v>2333141</v>
      </c>
      <c r="J54" s="474">
        <f>I54</f>
        <v>2333141</v>
      </c>
      <c r="K54" s="216" t="s">
        <v>2173</v>
      </c>
      <c r="L54" s="222">
        <v>42338</v>
      </c>
      <c r="M54" s="200">
        <v>1766406</v>
      </c>
      <c r="N54" s="200">
        <f t="shared" si="19"/>
        <v>1766406</v>
      </c>
      <c r="O54" s="343"/>
      <c r="P54" s="200">
        <f t="shared" si="18"/>
        <v>1766406</v>
      </c>
      <c r="Q54" s="200">
        <f t="shared" si="18"/>
        <v>1766406</v>
      </c>
      <c r="R54" s="137"/>
    </row>
    <row r="55" spans="1:18" ht="15" customHeight="1" x14ac:dyDescent="0.25">
      <c r="A55" s="449"/>
      <c r="B55" s="467"/>
      <c r="C55" s="489"/>
      <c r="D55" s="489"/>
      <c r="E55" s="489"/>
      <c r="F55" s="489"/>
      <c r="G55" s="491"/>
      <c r="H55" s="491"/>
      <c r="I55" s="475"/>
      <c r="J55" s="475"/>
      <c r="K55" s="216" t="s">
        <v>2174</v>
      </c>
      <c r="L55" s="222">
        <v>42338</v>
      </c>
      <c r="M55" s="200">
        <v>566735</v>
      </c>
      <c r="N55" s="200">
        <f t="shared" si="19"/>
        <v>566735</v>
      </c>
      <c r="O55" s="343"/>
      <c r="P55" s="200">
        <f t="shared" si="18"/>
        <v>566735</v>
      </c>
      <c r="Q55" s="200">
        <f t="shared" si="18"/>
        <v>566735</v>
      </c>
      <c r="R55" s="137"/>
    </row>
    <row r="56" spans="1:18" s="7" customFormat="1" ht="47.25" customHeight="1" x14ac:dyDescent="0.25">
      <c r="A56" s="447" t="s">
        <v>2852</v>
      </c>
      <c r="B56" s="466" t="s">
        <v>2913</v>
      </c>
      <c r="C56" s="493" t="s">
        <v>611</v>
      </c>
      <c r="D56" s="493" t="s">
        <v>595</v>
      </c>
      <c r="E56" s="488" t="s">
        <v>2814</v>
      </c>
      <c r="F56" s="488"/>
      <c r="G56" s="490">
        <v>13192</v>
      </c>
      <c r="H56" s="494">
        <v>42938</v>
      </c>
      <c r="I56" s="474">
        <v>247743</v>
      </c>
      <c r="J56" s="474">
        <f>I56</f>
        <v>247743</v>
      </c>
      <c r="K56" s="216" t="s">
        <v>2180</v>
      </c>
      <c r="L56" s="222">
        <v>42735</v>
      </c>
      <c r="M56" s="200">
        <v>38274</v>
      </c>
      <c r="N56" s="200">
        <f t="shared" si="19"/>
        <v>38274</v>
      </c>
      <c r="O56" s="343"/>
      <c r="P56" s="200">
        <f t="shared" si="18"/>
        <v>38274</v>
      </c>
      <c r="Q56" s="200">
        <f t="shared" si="18"/>
        <v>38274</v>
      </c>
      <c r="R56" s="492" t="s">
        <v>2230</v>
      </c>
    </row>
    <row r="57" spans="1:18" s="7" customFormat="1" ht="15.75" customHeight="1" x14ac:dyDescent="0.25">
      <c r="A57" s="449"/>
      <c r="B57" s="467"/>
      <c r="C57" s="489"/>
      <c r="D57" s="489"/>
      <c r="E57" s="489"/>
      <c r="F57" s="489"/>
      <c r="G57" s="491"/>
      <c r="H57" s="495"/>
      <c r="I57" s="475"/>
      <c r="J57" s="475"/>
      <c r="K57" s="216" t="s">
        <v>2175</v>
      </c>
      <c r="L57" s="222">
        <v>42318</v>
      </c>
      <c r="M57" s="200">
        <v>209469</v>
      </c>
      <c r="N57" s="200">
        <f t="shared" si="19"/>
        <v>209469</v>
      </c>
      <c r="O57" s="343"/>
      <c r="P57" s="200">
        <f t="shared" si="18"/>
        <v>209469</v>
      </c>
      <c r="Q57" s="200">
        <f t="shared" si="18"/>
        <v>209469</v>
      </c>
      <c r="R57" s="492"/>
    </row>
    <row r="58" spans="1:18" ht="31.5" x14ac:dyDescent="0.25">
      <c r="A58" s="304" t="s">
        <v>2853</v>
      </c>
      <c r="B58" s="319" t="s">
        <v>2914</v>
      </c>
      <c r="C58" s="315" t="s">
        <v>2178</v>
      </c>
      <c r="D58" s="320" t="s">
        <v>1302</v>
      </c>
      <c r="E58" s="346" t="s">
        <v>2814</v>
      </c>
      <c r="F58" s="325">
        <f>J58</f>
        <v>55000</v>
      </c>
      <c r="G58" s="217">
        <v>2605</v>
      </c>
      <c r="H58" s="221">
        <v>42101</v>
      </c>
      <c r="I58" s="200">
        <f>M58</f>
        <v>46610.169491525427</v>
      </c>
      <c r="J58" s="224">
        <f>I58*1.18</f>
        <v>55000</v>
      </c>
      <c r="K58" s="216">
        <v>811</v>
      </c>
      <c r="L58" s="222">
        <v>42114</v>
      </c>
      <c r="M58" s="200">
        <v>46610.169491525427</v>
      </c>
      <c r="N58" s="200">
        <f>M58*1.18</f>
        <v>55000</v>
      </c>
      <c r="O58" s="343"/>
      <c r="P58" s="200">
        <f t="shared" si="18"/>
        <v>46610.169491525427</v>
      </c>
      <c r="Q58" s="200">
        <f t="shared" si="18"/>
        <v>55000</v>
      </c>
      <c r="R58" s="137"/>
    </row>
    <row r="59" spans="1:18" ht="31.5" x14ac:dyDescent="0.25">
      <c r="A59" s="304" t="s">
        <v>2855</v>
      </c>
      <c r="B59" s="319" t="s">
        <v>2915</v>
      </c>
      <c r="C59" s="315" t="s">
        <v>2226</v>
      </c>
      <c r="D59" s="320"/>
      <c r="E59" s="346" t="s">
        <v>2814</v>
      </c>
      <c r="F59" s="223">
        <v>17000</v>
      </c>
      <c r="G59" s="217">
        <v>6195</v>
      </c>
      <c r="H59" s="221">
        <v>42216</v>
      </c>
      <c r="I59" s="200">
        <v>17000</v>
      </c>
      <c r="J59" s="200">
        <f>I59</f>
        <v>17000</v>
      </c>
      <c r="K59" s="216" t="s">
        <v>2184</v>
      </c>
      <c r="L59" s="222">
        <v>42206</v>
      </c>
      <c r="M59" s="200">
        <f t="shared" ref="M59:N62" si="20">I59</f>
        <v>17000</v>
      </c>
      <c r="N59" s="200">
        <f t="shared" si="20"/>
        <v>17000</v>
      </c>
      <c r="O59" s="343"/>
      <c r="P59" s="200">
        <f t="shared" si="18"/>
        <v>17000</v>
      </c>
      <c r="Q59" s="200">
        <f t="shared" si="18"/>
        <v>17000</v>
      </c>
      <c r="R59" s="137"/>
    </row>
    <row r="60" spans="1:18" ht="15" x14ac:dyDescent="0.25">
      <c r="A60" s="447" t="s">
        <v>2856</v>
      </c>
      <c r="B60" s="466" t="s">
        <v>2916</v>
      </c>
      <c r="C60" s="488" t="s">
        <v>472</v>
      </c>
      <c r="D60" s="488" t="s">
        <v>696</v>
      </c>
      <c r="E60" s="488" t="s">
        <v>2814</v>
      </c>
      <c r="F60" s="472">
        <f>J60+J61</f>
        <v>700000</v>
      </c>
      <c r="G60" s="217">
        <v>21127</v>
      </c>
      <c r="H60" s="217" t="s">
        <v>2163</v>
      </c>
      <c r="I60" s="200">
        <v>423728.81355932204</v>
      </c>
      <c r="J60" s="200">
        <f>I60*1.18</f>
        <v>500000</v>
      </c>
      <c r="K60" s="315" t="s">
        <v>2198</v>
      </c>
      <c r="L60" s="327">
        <v>42345</v>
      </c>
      <c r="M60" s="200">
        <f t="shared" si="20"/>
        <v>423728.81355932204</v>
      </c>
      <c r="N60" s="200">
        <f t="shared" si="20"/>
        <v>500000</v>
      </c>
      <c r="O60" s="343"/>
      <c r="P60" s="200">
        <f t="shared" si="18"/>
        <v>423728.81355932204</v>
      </c>
      <c r="Q60" s="200">
        <f t="shared" si="18"/>
        <v>500000</v>
      </c>
      <c r="R60" s="137"/>
    </row>
    <row r="61" spans="1:18" ht="15" x14ac:dyDescent="0.25">
      <c r="A61" s="449"/>
      <c r="B61" s="467"/>
      <c r="C61" s="489"/>
      <c r="D61" s="489"/>
      <c r="E61" s="489"/>
      <c r="F61" s="473"/>
      <c r="G61" s="217">
        <v>3525</v>
      </c>
      <c r="H61" s="217" t="s">
        <v>2165</v>
      </c>
      <c r="I61" s="200">
        <v>169491.52542372883</v>
      </c>
      <c r="J61" s="200">
        <f>I61*1.18</f>
        <v>200000</v>
      </c>
      <c r="K61" s="315" t="s">
        <v>2187</v>
      </c>
      <c r="L61" s="315" t="s">
        <v>2164</v>
      </c>
      <c r="M61" s="200">
        <f t="shared" si="20"/>
        <v>169491.52542372883</v>
      </c>
      <c r="N61" s="200">
        <f t="shared" si="20"/>
        <v>200000</v>
      </c>
      <c r="O61" s="343"/>
      <c r="P61" s="200">
        <f t="shared" si="18"/>
        <v>169491.52542372883</v>
      </c>
      <c r="Q61" s="200">
        <f t="shared" si="18"/>
        <v>200000</v>
      </c>
      <c r="R61" s="137"/>
    </row>
    <row r="62" spans="1:18" ht="31.5" x14ac:dyDescent="0.25">
      <c r="A62" s="304" t="s">
        <v>2857</v>
      </c>
      <c r="B62" s="319" t="s">
        <v>2917</v>
      </c>
      <c r="C62" s="315" t="s">
        <v>2202</v>
      </c>
      <c r="D62" s="320" t="s">
        <v>2203</v>
      </c>
      <c r="E62" s="346" t="s">
        <v>2814</v>
      </c>
      <c r="F62" s="223">
        <v>120122.73</v>
      </c>
      <c r="G62" s="217">
        <v>2123</v>
      </c>
      <c r="H62" s="221">
        <v>42440</v>
      </c>
      <c r="I62" s="200">
        <v>60061.37</v>
      </c>
      <c r="J62" s="200">
        <f>I62</f>
        <v>60061.37</v>
      </c>
      <c r="K62" s="216" t="s">
        <v>2188</v>
      </c>
      <c r="L62" s="222">
        <v>42304</v>
      </c>
      <c r="M62" s="200">
        <f t="shared" si="20"/>
        <v>60061.37</v>
      </c>
      <c r="N62" s="200">
        <f t="shared" si="20"/>
        <v>60061.37</v>
      </c>
      <c r="O62" s="343"/>
      <c r="P62" s="200">
        <f t="shared" si="18"/>
        <v>60061.37</v>
      </c>
      <c r="Q62" s="200">
        <f t="shared" si="18"/>
        <v>60061.37</v>
      </c>
      <c r="R62" s="137"/>
    </row>
    <row r="63" spans="1:18" ht="31.5" x14ac:dyDescent="0.25">
      <c r="A63" s="304" t="s">
        <v>2858</v>
      </c>
      <c r="B63" s="319" t="s">
        <v>2918</v>
      </c>
      <c r="C63" s="315" t="s">
        <v>2732</v>
      </c>
      <c r="D63" s="320" t="s">
        <v>2563</v>
      </c>
      <c r="E63" s="346" t="s">
        <v>2814</v>
      </c>
      <c r="F63" s="223">
        <v>31790</v>
      </c>
      <c r="G63" s="217">
        <v>17644</v>
      </c>
      <c r="H63" s="217" t="s">
        <v>2166</v>
      </c>
      <c r="I63" s="200">
        <v>31790</v>
      </c>
      <c r="J63" s="200">
        <f>I63</f>
        <v>31790</v>
      </c>
      <c r="K63" s="216">
        <v>43</v>
      </c>
      <c r="L63" s="222">
        <v>42674</v>
      </c>
      <c r="M63" s="200">
        <f>J63</f>
        <v>31790</v>
      </c>
      <c r="N63" s="200">
        <f>M63</f>
        <v>31790</v>
      </c>
      <c r="O63" s="343"/>
      <c r="P63" s="200">
        <f t="shared" si="18"/>
        <v>31790</v>
      </c>
      <c r="Q63" s="200">
        <f t="shared" si="18"/>
        <v>31790</v>
      </c>
      <c r="R63" s="137"/>
    </row>
    <row r="64" spans="1:18" ht="63" x14ac:dyDescent="0.25">
      <c r="A64" s="304" t="s">
        <v>2859</v>
      </c>
      <c r="B64" s="319" t="s">
        <v>2919</v>
      </c>
      <c r="C64" s="315" t="s">
        <v>2733</v>
      </c>
      <c r="D64" s="320" t="s">
        <v>2734</v>
      </c>
      <c r="E64" s="346" t="s">
        <v>2814</v>
      </c>
      <c r="F64" s="223">
        <v>100000</v>
      </c>
      <c r="G64" s="217">
        <v>17659</v>
      </c>
      <c r="H64" s="221">
        <v>42689</v>
      </c>
      <c r="I64" s="200">
        <v>84745.762711864416</v>
      </c>
      <c r="J64" s="200">
        <f t="shared" ref="J64:J174" si="21">I64*1.18</f>
        <v>100000</v>
      </c>
      <c r="K64" s="216">
        <v>555</v>
      </c>
      <c r="L64" s="222">
        <v>42712</v>
      </c>
      <c r="M64" s="200">
        <f>I64</f>
        <v>84745.762711864416</v>
      </c>
      <c r="N64" s="200">
        <f t="shared" ref="N64" si="22">J64</f>
        <v>100000</v>
      </c>
      <c r="O64" s="343"/>
      <c r="P64" s="200">
        <f t="shared" si="18"/>
        <v>84745.762711864416</v>
      </c>
      <c r="Q64" s="200">
        <f>N64</f>
        <v>100000</v>
      </c>
      <c r="R64" s="137"/>
    </row>
    <row r="65" spans="1:18" ht="15.75" customHeight="1" x14ac:dyDescent="0.25">
      <c r="A65" s="497" t="s">
        <v>2860</v>
      </c>
      <c r="B65" s="500" t="s">
        <v>2920</v>
      </c>
      <c r="C65" s="488" t="s">
        <v>2179</v>
      </c>
      <c r="D65" s="488" t="s">
        <v>1321</v>
      </c>
      <c r="E65" s="488" t="s">
        <v>2814</v>
      </c>
      <c r="F65" s="472">
        <v>595020.51</v>
      </c>
      <c r="G65" s="217">
        <v>8121</v>
      </c>
      <c r="H65" s="221">
        <v>41571</v>
      </c>
      <c r="I65" s="200">
        <f>100000/1.18</f>
        <v>84745.762711864416</v>
      </c>
      <c r="J65" s="200">
        <f t="shared" si="21"/>
        <v>100000</v>
      </c>
      <c r="K65" s="468">
        <v>7814</v>
      </c>
      <c r="L65" s="470">
        <v>41572</v>
      </c>
      <c r="M65" s="474">
        <f>SUM(I65:I74)</f>
        <v>376441.53542372887</v>
      </c>
      <c r="N65" s="474">
        <f>M65*1.18</f>
        <v>444201.01180000004</v>
      </c>
      <c r="O65" s="481"/>
      <c r="P65" s="474">
        <f t="shared" si="18"/>
        <v>376441.53542372887</v>
      </c>
      <c r="Q65" s="474">
        <f t="shared" si="18"/>
        <v>444201.01180000004</v>
      </c>
      <c r="R65" s="137"/>
    </row>
    <row r="66" spans="1:18" ht="15.75" customHeight="1" x14ac:dyDescent="0.25">
      <c r="A66" s="498"/>
      <c r="B66" s="500"/>
      <c r="C66" s="493"/>
      <c r="D66" s="493"/>
      <c r="E66" s="493"/>
      <c r="F66" s="485"/>
      <c r="G66" s="217">
        <v>8699</v>
      </c>
      <c r="H66" s="221">
        <v>41591</v>
      </c>
      <c r="I66" s="200">
        <v>49698.813559322036</v>
      </c>
      <c r="J66" s="200">
        <f t="shared" si="21"/>
        <v>58644.6</v>
      </c>
      <c r="K66" s="476"/>
      <c r="L66" s="477"/>
      <c r="M66" s="496"/>
      <c r="N66" s="496"/>
      <c r="O66" s="482"/>
      <c r="P66" s="496"/>
      <c r="Q66" s="496"/>
      <c r="R66" s="137"/>
    </row>
    <row r="67" spans="1:18" ht="15.75" customHeight="1" x14ac:dyDescent="0.25">
      <c r="A67" s="498"/>
      <c r="B67" s="500"/>
      <c r="C67" s="493"/>
      <c r="D67" s="493"/>
      <c r="E67" s="493"/>
      <c r="F67" s="485"/>
      <c r="G67" s="217">
        <v>8803</v>
      </c>
      <c r="H67" s="221">
        <v>41593</v>
      </c>
      <c r="I67" s="200">
        <v>42372.881355932208</v>
      </c>
      <c r="J67" s="200">
        <f t="shared" si="21"/>
        <v>50000</v>
      </c>
      <c r="K67" s="476"/>
      <c r="L67" s="477"/>
      <c r="M67" s="496"/>
      <c r="N67" s="496"/>
      <c r="O67" s="482"/>
      <c r="P67" s="496"/>
      <c r="Q67" s="496"/>
      <c r="R67" s="137"/>
    </row>
    <row r="68" spans="1:18" ht="15.75" customHeight="1" x14ac:dyDescent="0.25">
      <c r="A68" s="498"/>
      <c r="B68" s="500"/>
      <c r="C68" s="493"/>
      <c r="D68" s="493"/>
      <c r="E68" s="493"/>
      <c r="F68" s="485"/>
      <c r="G68" s="217">
        <v>9590</v>
      </c>
      <c r="H68" s="217" t="s">
        <v>2227</v>
      </c>
      <c r="I68" s="200">
        <v>42372.881355932208</v>
      </c>
      <c r="J68" s="200">
        <f t="shared" si="21"/>
        <v>50000</v>
      </c>
      <c r="K68" s="476"/>
      <c r="L68" s="477"/>
      <c r="M68" s="496"/>
      <c r="N68" s="496"/>
      <c r="O68" s="482"/>
      <c r="P68" s="496"/>
      <c r="Q68" s="496"/>
      <c r="R68" s="137"/>
    </row>
    <row r="69" spans="1:18" ht="15.75" customHeight="1" x14ac:dyDescent="0.25">
      <c r="A69" s="498"/>
      <c r="B69" s="500"/>
      <c r="C69" s="493"/>
      <c r="D69" s="493"/>
      <c r="E69" s="493"/>
      <c r="F69" s="485"/>
      <c r="G69" s="217">
        <v>9674</v>
      </c>
      <c r="H69" s="221">
        <v>41624</v>
      </c>
      <c r="I69" s="200">
        <v>42372.881355932208</v>
      </c>
      <c r="J69" s="200">
        <f t="shared" si="21"/>
        <v>50000</v>
      </c>
      <c r="K69" s="476"/>
      <c r="L69" s="477"/>
      <c r="M69" s="496"/>
      <c r="N69" s="496"/>
      <c r="O69" s="482"/>
      <c r="P69" s="496"/>
      <c r="Q69" s="496"/>
      <c r="R69" s="137"/>
    </row>
    <row r="70" spans="1:18" ht="15.75" customHeight="1" x14ac:dyDescent="0.25">
      <c r="A70" s="498"/>
      <c r="B70" s="500"/>
      <c r="C70" s="493"/>
      <c r="D70" s="493"/>
      <c r="E70" s="493"/>
      <c r="F70" s="485"/>
      <c r="G70" s="217">
        <v>10080</v>
      </c>
      <c r="H70" s="221">
        <v>41638</v>
      </c>
      <c r="I70" s="200">
        <v>73199.923728813563</v>
      </c>
      <c r="J70" s="200">
        <f t="shared" si="21"/>
        <v>86375.91</v>
      </c>
      <c r="K70" s="476"/>
      <c r="L70" s="477"/>
      <c r="M70" s="496"/>
      <c r="N70" s="496"/>
      <c r="O70" s="482"/>
      <c r="P70" s="496"/>
      <c r="Q70" s="496"/>
      <c r="R70" s="137"/>
    </row>
    <row r="71" spans="1:18" ht="15.75" customHeight="1" x14ac:dyDescent="0.25">
      <c r="A71" s="498"/>
      <c r="B71" s="500"/>
      <c r="C71" s="493"/>
      <c r="D71" s="493"/>
      <c r="E71" s="493"/>
      <c r="F71" s="485"/>
      <c r="G71" s="217">
        <v>580</v>
      </c>
      <c r="H71" s="221">
        <v>41669</v>
      </c>
      <c r="I71" s="200">
        <f>42372.8813559322-694.49</f>
        <v>41678.391355932203</v>
      </c>
      <c r="J71" s="200">
        <f t="shared" si="21"/>
        <v>49180.501799999998</v>
      </c>
      <c r="K71" s="476"/>
      <c r="L71" s="477"/>
      <c r="M71" s="496"/>
      <c r="N71" s="496"/>
      <c r="O71" s="482"/>
      <c r="P71" s="496"/>
      <c r="Q71" s="496"/>
      <c r="R71" s="137"/>
    </row>
    <row r="72" spans="1:18" ht="15.75" customHeight="1" x14ac:dyDescent="0.25">
      <c r="A72" s="498"/>
      <c r="B72" s="500"/>
      <c r="C72" s="493"/>
      <c r="D72" s="493"/>
      <c r="E72" s="493"/>
      <c r="F72" s="485"/>
      <c r="G72" s="217">
        <v>950</v>
      </c>
      <c r="H72" s="217" t="s">
        <v>2228</v>
      </c>
      <c r="I72" s="200"/>
      <c r="J72" s="200">
        <f t="shared" si="21"/>
        <v>0</v>
      </c>
      <c r="K72" s="476"/>
      <c r="L72" s="477"/>
      <c r="M72" s="496"/>
      <c r="N72" s="496"/>
      <c r="O72" s="482"/>
      <c r="P72" s="496"/>
      <c r="Q72" s="496"/>
      <c r="R72" s="137"/>
    </row>
    <row r="73" spans="1:18" ht="15.75" customHeight="1" x14ac:dyDescent="0.25">
      <c r="A73" s="498"/>
      <c r="B73" s="500"/>
      <c r="C73" s="493"/>
      <c r="D73" s="493"/>
      <c r="E73" s="493"/>
      <c r="F73" s="485"/>
      <c r="G73" s="217">
        <v>1295</v>
      </c>
      <c r="H73" s="217" t="s">
        <v>2229</v>
      </c>
      <c r="I73" s="200"/>
      <c r="J73" s="200">
        <f t="shared" si="21"/>
        <v>0</v>
      </c>
      <c r="K73" s="476"/>
      <c r="L73" s="477"/>
      <c r="M73" s="496"/>
      <c r="N73" s="496"/>
      <c r="O73" s="482"/>
      <c r="P73" s="496"/>
      <c r="Q73" s="496"/>
      <c r="R73" s="137"/>
    </row>
    <row r="74" spans="1:18" ht="15.75" customHeight="1" x14ac:dyDescent="0.25">
      <c r="A74" s="499"/>
      <c r="B74" s="500"/>
      <c r="C74" s="493"/>
      <c r="D74" s="493"/>
      <c r="E74" s="493"/>
      <c r="F74" s="485"/>
      <c r="G74" s="330">
        <v>1472</v>
      </c>
      <c r="H74" s="340">
        <v>41697</v>
      </c>
      <c r="I74" s="316"/>
      <c r="J74" s="316">
        <f t="shared" si="21"/>
        <v>0</v>
      </c>
      <c r="K74" s="476"/>
      <c r="L74" s="477"/>
      <c r="M74" s="496"/>
      <c r="N74" s="496"/>
      <c r="O74" s="482"/>
      <c r="P74" s="496"/>
      <c r="Q74" s="496"/>
      <c r="R74" s="137"/>
    </row>
    <row r="75" spans="1:18" s="7" customFormat="1" ht="47.25" x14ac:dyDescent="0.25">
      <c r="A75" s="304" t="s">
        <v>2861</v>
      </c>
      <c r="B75" s="274" t="s">
        <v>2921</v>
      </c>
      <c r="C75" s="315"/>
      <c r="D75" s="320"/>
      <c r="E75" s="346" t="s">
        <v>2814</v>
      </c>
      <c r="F75" s="223"/>
      <c r="G75" s="217"/>
      <c r="H75" s="221"/>
      <c r="I75" s="225">
        <f>M75</f>
        <v>28878.41</v>
      </c>
      <c r="J75" s="225">
        <f>I75</f>
        <v>28878.41</v>
      </c>
      <c r="K75" s="216" t="s">
        <v>2751</v>
      </c>
      <c r="L75" s="216" t="s">
        <v>2750</v>
      </c>
      <c r="M75" s="200">
        <v>28878.41</v>
      </c>
      <c r="N75" s="200">
        <f>M75</f>
        <v>28878.41</v>
      </c>
      <c r="O75" s="216" t="s">
        <v>2749</v>
      </c>
      <c r="P75" s="200">
        <f t="shared" ref="P75:P106" si="23">M75</f>
        <v>28878.41</v>
      </c>
      <c r="Q75" s="200">
        <f t="shared" ref="Q75:Q106" si="24">P75</f>
        <v>28878.41</v>
      </c>
    </row>
    <row r="76" spans="1:18" ht="47.25" x14ac:dyDescent="0.25">
      <c r="A76" s="304" t="s">
        <v>2862</v>
      </c>
      <c r="B76" s="274" t="s">
        <v>2657</v>
      </c>
      <c r="C76" s="315"/>
      <c r="D76" s="320"/>
      <c r="E76" s="346" t="s">
        <v>2814</v>
      </c>
      <c r="F76" s="223"/>
      <c r="G76" s="217"/>
      <c r="H76" s="217"/>
      <c r="I76" s="225">
        <f t="shared" ref="I76:I106" si="25">M76</f>
        <v>182327.85243272333</v>
      </c>
      <c r="J76" s="225">
        <f t="shared" ref="J76:J106" si="26">I76</f>
        <v>182327.85243272333</v>
      </c>
      <c r="K76" s="216" t="s">
        <v>2752</v>
      </c>
      <c r="L76" s="216" t="s">
        <v>2753</v>
      </c>
      <c r="M76" s="200">
        <v>182327.85243272333</v>
      </c>
      <c r="N76" s="200">
        <f t="shared" ref="N76:N106" si="27">M76</f>
        <v>182327.85243272333</v>
      </c>
      <c r="O76" s="216" t="s">
        <v>2749</v>
      </c>
      <c r="P76" s="200">
        <f t="shared" si="23"/>
        <v>182327.85243272333</v>
      </c>
      <c r="Q76" s="200">
        <f t="shared" si="24"/>
        <v>182327.85243272333</v>
      </c>
    </row>
    <row r="77" spans="1:18" ht="47.25" x14ac:dyDescent="0.25">
      <c r="A77" s="304" t="s">
        <v>2863</v>
      </c>
      <c r="B77" s="274" t="s">
        <v>2658</v>
      </c>
      <c r="C77" s="315"/>
      <c r="D77" s="320"/>
      <c r="E77" s="346" t="s">
        <v>2814</v>
      </c>
      <c r="F77" s="223"/>
      <c r="G77" s="217"/>
      <c r="H77" s="217"/>
      <c r="I77" s="225">
        <f t="shared" si="25"/>
        <v>873024.18289517472</v>
      </c>
      <c r="J77" s="225">
        <f t="shared" si="26"/>
        <v>873024.18289517472</v>
      </c>
      <c r="K77" s="216" t="s">
        <v>2754</v>
      </c>
      <c r="L77" s="216" t="s">
        <v>2755</v>
      </c>
      <c r="M77" s="200">
        <v>873024.18289517472</v>
      </c>
      <c r="N77" s="200">
        <f t="shared" si="27"/>
        <v>873024.18289517472</v>
      </c>
      <c r="O77" s="216" t="s">
        <v>2749</v>
      </c>
      <c r="P77" s="200">
        <f t="shared" si="23"/>
        <v>873024.18289517472</v>
      </c>
      <c r="Q77" s="200">
        <f t="shared" si="24"/>
        <v>873024.18289517472</v>
      </c>
    </row>
    <row r="78" spans="1:18" ht="47.25" x14ac:dyDescent="0.25">
      <c r="A78" s="304" t="s">
        <v>2864</v>
      </c>
      <c r="B78" s="274" t="s">
        <v>2659</v>
      </c>
      <c r="C78" s="315"/>
      <c r="D78" s="320"/>
      <c r="E78" s="346" t="s">
        <v>2814</v>
      </c>
      <c r="F78" s="223"/>
      <c r="G78" s="217"/>
      <c r="H78" s="217"/>
      <c r="I78" s="225">
        <f t="shared" si="25"/>
        <v>79268.531948684642</v>
      </c>
      <c r="J78" s="225">
        <f t="shared" si="26"/>
        <v>79268.531948684642</v>
      </c>
      <c r="K78" s="216" t="s">
        <v>2756</v>
      </c>
      <c r="L78" s="216" t="s">
        <v>2757</v>
      </c>
      <c r="M78" s="200">
        <v>79268.531948684642</v>
      </c>
      <c r="N78" s="200">
        <f t="shared" si="27"/>
        <v>79268.531948684642</v>
      </c>
      <c r="O78" s="216" t="s">
        <v>2749</v>
      </c>
      <c r="P78" s="200">
        <f t="shared" si="23"/>
        <v>79268.531948684642</v>
      </c>
      <c r="Q78" s="200">
        <f t="shared" si="24"/>
        <v>79268.531948684642</v>
      </c>
    </row>
    <row r="79" spans="1:18" ht="47.25" x14ac:dyDescent="0.25">
      <c r="A79" s="304" t="s">
        <v>2865</v>
      </c>
      <c r="B79" s="274" t="s">
        <v>2660</v>
      </c>
      <c r="C79" s="315"/>
      <c r="D79" s="320"/>
      <c r="E79" s="346" t="s">
        <v>2814</v>
      </c>
      <c r="F79" s="223"/>
      <c r="G79" s="217"/>
      <c r="H79" s="217"/>
      <c r="I79" s="225">
        <f t="shared" si="25"/>
        <v>1268723.9557142858</v>
      </c>
      <c r="J79" s="225">
        <f t="shared" si="26"/>
        <v>1268723.9557142858</v>
      </c>
      <c r="K79" s="216" t="s">
        <v>2758</v>
      </c>
      <c r="L79" s="216" t="s">
        <v>2759</v>
      </c>
      <c r="M79" s="200">
        <v>1268723.9557142858</v>
      </c>
      <c r="N79" s="200">
        <f t="shared" si="27"/>
        <v>1268723.9557142858</v>
      </c>
      <c r="O79" s="216" t="s">
        <v>2749</v>
      </c>
      <c r="P79" s="200">
        <f t="shared" si="23"/>
        <v>1268723.9557142858</v>
      </c>
      <c r="Q79" s="200">
        <f t="shared" si="24"/>
        <v>1268723.9557142858</v>
      </c>
    </row>
    <row r="80" spans="1:18" ht="47.25" x14ac:dyDescent="0.25">
      <c r="A80" s="304" t="s">
        <v>2866</v>
      </c>
      <c r="B80" s="274" t="s">
        <v>2661</v>
      </c>
      <c r="C80" s="315"/>
      <c r="D80" s="320"/>
      <c r="E80" s="346" t="s">
        <v>2814</v>
      </c>
      <c r="F80" s="223"/>
      <c r="G80" s="217"/>
      <c r="H80" s="217"/>
      <c r="I80" s="225">
        <f t="shared" si="25"/>
        <v>3793952.9031397635</v>
      </c>
      <c r="J80" s="225">
        <f t="shared" si="26"/>
        <v>3793952.9031397635</v>
      </c>
      <c r="K80" s="216" t="s">
        <v>2760</v>
      </c>
      <c r="L80" s="216" t="s">
        <v>2761</v>
      </c>
      <c r="M80" s="200">
        <v>3793952.9031397635</v>
      </c>
      <c r="N80" s="200">
        <f t="shared" si="27"/>
        <v>3793952.9031397635</v>
      </c>
      <c r="O80" s="216" t="s">
        <v>2749</v>
      </c>
      <c r="P80" s="200">
        <f t="shared" si="23"/>
        <v>3793952.9031397635</v>
      </c>
      <c r="Q80" s="200">
        <f t="shared" si="24"/>
        <v>3793952.9031397635</v>
      </c>
    </row>
    <row r="81" spans="1:17" ht="47.25" x14ac:dyDescent="0.25">
      <c r="A81" s="304" t="s">
        <v>2867</v>
      </c>
      <c r="B81" s="274" t="s">
        <v>2662</v>
      </c>
      <c r="C81" s="315"/>
      <c r="D81" s="320"/>
      <c r="E81" s="346" t="s">
        <v>2814</v>
      </c>
      <c r="F81" s="223"/>
      <c r="G81" s="217"/>
      <c r="H81" s="217"/>
      <c r="I81" s="225">
        <f t="shared" si="25"/>
        <v>6162714.9346365426</v>
      </c>
      <c r="J81" s="225">
        <f t="shared" si="26"/>
        <v>6162714.9346365426</v>
      </c>
      <c r="K81" s="216" t="s">
        <v>2762</v>
      </c>
      <c r="L81" s="216" t="s">
        <v>2763</v>
      </c>
      <c r="M81" s="200">
        <v>6162714.9346365426</v>
      </c>
      <c r="N81" s="200">
        <f t="shared" si="27"/>
        <v>6162714.9346365426</v>
      </c>
      <c r="O81" s="216" t="s">
        <v>2749</v>
      </c>
      <c r="P81" s="200">
        <f t="shared" si="23"/>
        <v>6162714.9346365426</v>
      </c>
      <c r="Q81" s="200">
        <f t="shared" si="24"/>
        <v>6162714.9346365426</v>
      </c>
    </row>
    <row r="82" spans="1:17" ht="47.25" x14ac:dyDescent="0.25">
      <c r="A82" s="304" t="s">
        <v>2868</v>
      </c>
      <c r="B82" s="274" t="s">
        <v>2663</v>
      </c>
      <c r="C82" s="315"/>
      <c r="D82" s="320"/>
      <c r="E82" s="346" t="s">
        <v>2814</v>
      </c>
      <c r="F82" s="223"/>
      <c r="G82" s="217"/>
      <c r="H82" s="217"/>
      <c r="I82" s="200">
        <f t="shared" si="25"/>
        <v>5579357.4830232561</v>
      </c>
      <c r="J82" s="200">
        <f t="shared" si="26"/>
        <v>5579357.4830232561</v>
      </c>
      <c r="K82" s="216" t="s">
        <v>2764</v>
      </c>
      <c r="L82" s="216" t="s">
        <v>2765</v>
      </c>
      <c r="M82" s="200">
        <v>5579357.4830232561</v>
      </c>
      <c r="N82" s="200">
        <f t="shared" si="27"/>
        <v>5579357.4830232561</v>
      </c>
      <c r="O82" s="216" t="s">
        <v>2749</v>
      </c>
      <c r="P82" s="200">
        <f t="shared" si="23"/>
        <v>5579357.4830232561</v>
      </c>
      <c r="Q82" s="200">
        <f t="shared" si="24"/>
        <v>5579357.4830232561</v>
      </c>
    </row>
    <row r="83" spans="1:17" ht="47.25" x14ac:dyDescent="0.25">
      <c r="A83" s="304" t="s">
        <v>2869</v>
      </c>
      <c r="B83" s="274" t="s">
        <v>2664</v>
      </c>
      <c r="C83" s="315"/>
      <c r="D83" s="320"/>
      <c r="E83" s="346" t="s">
        <v>2814</v>
      </c>
      <c r="F83" s="223"/>
      <c r="G83" s="217"/>
      <c r="H83" s="217"/>
      <c r="I83" s="200">
        <f t="shared" si="25"/>
        <v>6304218.2965573762</v>
      </c>
      <c r="J83" s="200">
        <f t="shared" si="26"/>
        <v>6304218.2965573762</v>
      </c>
      <c r="K83" s="216" t="s">
        <v>2766</v>
      </c>
      <c r="L83" s="216" t="s">
        <v>2767</v>
      </c>
      <c r="M83" s="200">
        <v>6304218.2965573762</v>
      </c>
      <c r="N83" s="200">
        <f t="shared" si="27"/>
        <v>6304218.2965573762</v>
      </c>
      <c r="O83" s="216" t="s">
        <v>2749</v>
      </c>
      <c r="P83" s="200">
        <f t="shared" si="23"/>
        <v>6304218.2965573762</v>
      </c>
      <c r="Q83" s="200">
        <f t="shared" si="24"/>
        <v>6304218.2965573762</v>
      </c>
    </row>
    <row r="84" spans="1:17" ht="47.25" x14ac:dyDescent="0.25">
      <c r="A84" s="304" t="s">
        <v>2870</v>
      </c>
      <c r="B84" s="274" t="s">
        <v>2665</v>
      </c>
      <c r="C84" s="315"/>
      <c r="D84" s="320"/>
      <c r="E84" s="346" t="s">
        <v>2814</v>
      </c>
      <c r="F84" s="223"/>
      <c r="G84" s="217"/>
      <c r="H84" s="217"/>
      <c r="I84" s="200">
        <f t="shared" si="25"/>
        <v>3081806.9023361825</v>
      </c>
      <c r="J84" s="200">
        <f t="shared" si="26"/>
        <v>3081806.9023361825</v>
      </c>
      <c r="K84" s="216" t="s">
        <v>2768</v>
      </c>
      <c r="L84" s="216" t="s">
        <v>2769</v>
      </c>
      <c r="M84" s="200">
        <v>3081806.9023361825</v>
      </c>
      <c r="N84" s="200">
        <f t="shared" si="27"/>
        <v>3081806.9023361825</v>
      </c>
      <c r="O84" s="216" t="s">
        <v>2749</v>
      </c>
      <c r="P84" s="200">
        <f t="shared" si="23"/>
        <v>3081806.9023361825</v>
      </c>
      <c r="Q84" s="200">
        <f t="shared" si="24"/>
        <v>3081806.9023361825</v>
      </c>
    </row>
    <row r="85" spans="1:17" ht="47.25" x14ac:dyDescent="0.25">
      <c r="A85" s="304" t="s">
        <v>2871</v>
      </c>
      <c r="B85" s="274" t="s">
        <v>2666</v>
      </c>
      <c r="C85" s="315"/>
      <c r="D85" s="320"/>
      <c r="E85" s="346" t="s">
        <v>2814</v>
      </c>
      <c r="F85" s="223"/>
      <c r="G85" s="217"/>
      <c r="H85" s="217"/>
      <c r="I85" s="200">
        <f t="shared" si="25"/>
        <v>1268364.926912281</v>
      </c>
      <c r="J85" s="200">
        <f t="shared" si="26"/>
        <v>1268364.926912281</v>
      </c>
      <c r="K85" s="216" t="s">
        <v>2770</v>
      </c>
      <c r="L85" s="216" t="s">
        <v>2771</v>
      </c>
      <c r="M85" s="200">
        <v>1268364.926912281</v>
      </c>
      <c r="N85" s="200">
        <f t="shared" si="27"/>
        <v>1268364.926912281</v>
      </c>
      <c r="O85" s="216" t="s">
        <v>2749</v>
      </c>
      <c r="P85" s="200">
        <f t="shared" si="23"/>
        <v>1268364.926912281</v>
      </c>
      <c r="Q85" s="200">
        <f t="shared" si="24"/>
        <v>1268364.926912281</v>
      </c>
    </row>
    <row r="86" spans="1:17" ht="47.25" x14ac:dyDescent="0.25">
      <c r="A86" s="304" t="s">
        <v>2872</v>
      </c>
      <c r="B86" s="274" t="s">
        <v>2667</v>
      </c>
      <c r="C86" s="315"/>
      <c r="D86" s="320"/>
      <c r="E86" s="346" t="s">
        <v>2814</v>
      </c>
      <c r="F86" s="223"/>
      <c r="G86" s="217"/>
      <c r="H86" s="217"/>
      <c r="I86" s="200">
        <f t="shared" si="25"/>
        <v>1055099.8477301791</v>
      </c>
      <c r="J86" s="200">
        <f t="shared" si="26"/>
        <v>1055099.8477301791</v>
      </c>
      <c r="K86" s="216" t="s">
        <v>2772</v>
      </c>
      <c r="L86" s="216" t="s">
        <v>2773</v>
      </c>
      <c r="M86" s="200">
        <v>1055099.8477301791</v>
      </c>
      <c r="N86" s="200">
        <f t="shared" si="27"/>
        <v>1055099.8477301791</v>
      </c>
      <c r="O86" s="216" t="s">
        <v>2749</v>
      </c>
      <c r="P86" s="200">
        <f t="shared" si="23"/>
        <v>1055099.8477301791</v>
      </c>
      <c r="Q86" s="200">
        <f t="shared" si="24"/>
        <v>1055099.8477301791</v>
      </c>
    </row>
    <row r="87" spans="1:17" ht="47.25" x14ac:dyDescent="0.25">
      <c r="A87" s="304" t="s">
        <v>2873</v>
      </c>
      <c r="B87" s="274" t="s">
        <v>2668</v>
      </c>
      <c r="C87" s="315"/>
      <c r="D87" s="320"/>
      <c r="E87" s="346" t="s">
        <v>2814</v>
      </c>
      <c r="F87" s="223"/>
      <c r="G87" s="217"/>
      <c r="H87" s="217"/>
      <c r="I87" s="200">
        <f t="shared" si="25"/>
        <v>782348.94215938309</v>
      </c>
      <c r="J87" s="200">
        <f t="shared" si="26"/>
        <v>782348.94215938309</v>
      </c>
      <c r="K87" s="216" t="s">
        <v>2774</v>
      </c>
      <c r="L87" s="216" t="s">
        <v>2775</v>
      </c>
      <c r="M87" s="200">
        <v>782348.94215938309</v>
      </c>
      <c r="N87" s="200">
        <f t="shared" si="27"/>
        <v>782348.94215938309</v>
      </c>
      <c r="O87" s="216" t="s">
        <v>2749</v>
      </c>
      <c r="P87" s="200">
        <f t="shared" si="23"/>
        <v>782348.94215938309</v>
      </c>
      <c r="Q87" s="200">
        <f t="shared" si="24"/>
        <v>782348.94215938309</v>
      </c>
    </row>
    <row r="88" spans="1:17" ht="47.25" x14ac:dyDescent="0.25">
      <c r="A88" s="304" t="s">
        <v>2874</v>
      </c>
      <c r="B88" s="274" t="s">
        <v>2669</v>
      </c>
      <c r="C88" s="315"/>
      <c r="D88" s="320"/>
      <c r="E88" s="346" t="s">
        <v>2814</v>
      </c>
      <c r="F88" s="223"/>
      <c r="G88" s="217"/>
      <c r="H88" s="217"/>
      <c r="I88" s="200">
        <f t="shared" si="25"/>
        <v>2122747.6423344947</v>
      </c>
      <c r="J88" s="200">
        <f t="shared" si="26"/>
        <v>2122747.6423344947</v>
      </c>
      <c r="K88" s="216" t="s">
        <v>2776</v>
      </c>
      <c r="L88" s="216" t="s">
        <v>2777</v>
      </c>
      <c r="M88" s="200">
        <v>2122747.6423344947</v>
      </c>
      <c r="N88" s="200">
        <f t="shared" si="27"/>
        <v>2122747.6423344947</v>
      </c>
      <c r="O88" s="216" t="s">
        <v>2749</v>
      </c>
      <c r="P88" s="200">
        <f t="shared" si="23"/>
        <v>2122747.6423344947</v>
      </c>
      <c r="Q88" s="200">
        <f t="shared" si="24"/>
        <v>2122747.6423344947</v>
      </c>
    </row>
    <row r="89" spans="1:17" ht="47.25" x14ac:dyDescent="0.25">
      <c r="A89" s="304" t="s">
        <v>2875</v>
      </c>
      <c r="B89" s="274" t="s">
        <v>2670</v>
      </c>
      <c r="C89" s="315"/>
      <c r="D89" s="320"/>
      <c r="E89" s="346" t="s">
        <v>2814</v>
      </c>
      <c r="F89" s="223"/>
      <c r="G89" s="217"/>
      <c r="H89" s="217"/>
      <c r="I89" s="200">
        <f t="shared" si="25"/>
        <v>2888528.3035728009</v>
      </c>
      <c r="J89" s="200">
        <f t="shared" si="26"/>
        <v>2888528.3035728009</v>
      </c>
      <c r="K89" s="216" t="s">
        <v>2778</v>
      </c>
      <c r="L89" s="216" t="s">
        <v>2779</v>
      </c>
      <c r="M89" s="200">
        <v>2888528.3035728009</v>
      </c>
      <c r="N89" s="200">
        <f t="shared" si="27"/>
        <v>2888528.3035728009</v>
      </c>
      <c r="O89" s="216" t="s">
        <v>2749</v>
      </c>
      <c r="P89" s="200">
        <f t="shared" si="23"/>
        <v>2888528.3035728009</v>
      </c>
      <c r="Q89" s="200">
        <f t="shared" si="24"/>
        <v>2888528.3035728009</v>
      </c>
    </row>
    <row r="90" spans="1:17" ht="47.25" x14ac:dyDescent="0.25">
      <c r="A90" s="304" t="s">
        <v>2876</v>
      </c>
      <c r="B90" s="274" t="s">
        <v>2671</v>
      </c>
      <c r="C90" s="315"/>
      <c r="D90" s="320"/>
      <c r="E90" s="346" t="s">
        <v>2814</v>
      </c>
      <c r="F90" s="223"/>
      <c r="G90" s="217"/>
      <c r="H90" s="217"/>
      <c r="I90" s="200">
        <f t="shared" si="25"/>
        <v>179481.94064257026</v>
      </c>
      <c r="J90" s="200">
        <f t="shared" si="26"/>
        <v>179481.94064257026</v>
      </c>
      <c r="K90" s="216" t="s">
        <v>2780</v>
      </c>
      <c r="L90" s="216" t="s">
        <v>2781</v>
      </c>
      <c r="M90" s="200">
        <v>179481.94064257026</v>
      </c>
      <c r="N90" s="200">
        <f t="shared" si="27"/>
        <v>179481.94064257026</v>
      </c>
      <c r="O90" s="216" t="s">
        <v>2749</v>
      </c>
      <c r="P90" s="200">
        <f t="shared" si="23"/>
        <v>179481.94064257026</v>
      </c>
      <c r="Q90" s="200">
        <f t="shared" si="24"/>
        <v>179481.94064257026</v>
      </c>
    </row>
    <row r="91" spans="1:17" ht="47.25" x14ac:dyDescent="0.25">
      <c r="A91" s="304" t="s">
        <v>2877</v>
      </c>
      <c r="B91" s="274" t="s">
        <v>2672</v>
      </c>
      <c r="C91" s="315"/>
      <c r="D91" s="320"/>
      <c r="E91" s="346" t="s">
        <v>2814</v>
      </c>
      <c r="F91" s="223"/>
      <c r="G91" s="217"/>
      <c r="H91" s="217"/>
      <c r="I91" s="200">
        <f t="shared" si="25"/>
        <v>263276.12606498197</v>
      </c>
      <c r="J91" s="200">
        <f t="shared" si="26"/>
        <v>263276.12606498197</v>
      </c>
      <c r="K91" s="216" t="s">
        <v>2782</v>
      </c>
      <c r="L91" s="216" t="s">
        <v>2783</v>
      </c>
      <c r="M91" s="200">
        <v>263276.12606498197</v>
      </c>
      <c r="N91" s="200">
        <f t="shared" si="27"/>
        <v>263276.12606498197</v>
      </c>
      <c r="O91" s="216" t="s">
        <v>2749</v>
      </c>
      <c r="P91" s="200">
        <f t="shared" si="23"/>
        <v>263276.12606498197</v>
      </c>
      <c r="Q91" s="200">
        <f t="shared" si="24"/>
        <v>263276.12606498197</v>
      </c>
    </row>
    <row r="92" spans="1:17" ht="47.25" x14ac:dyDescent="0.25">
      <c r="A92" s="304" t="s">
        <v>2878</v>
      </c>
      <c r="B92" s="274" t="s">
        <v>2673</v>
      </c>
      <c r="C92" s="315"/>
      <c r="D92" s="320"/>
      <c r="E92" s="346" t="s">
        <v>2814</v>
      </c>
      <c r="F92" s="223"/>
      <c r="G92" s="217"/>
      <c r="H92" s="217"/>
      <c r="I92" s="200">
        <f t="shared" si="25"/>
        <v>166716.9810915493</v>
      </c>
      <c r="J92" s="200">
        <f t="shared" si="26"/>
        <v>166716.9810915493</v>
      </c>
      <c r="K92" s="216" t="s">
        <v>2784</v>
      </c>
      <c r="L92" s="216" t="s">
        <v>2785</v>
      </c>
      <c r="M92" s="200">
        <v>166716.9810915493</v>
      </c>
      <c r="N92" s="200">
        <f t="shared" si="27"/>
        <v>166716.9810915493</v>
      </c>
      <c r="O92" s="216" t="s">
        <v>2749</v>
      </c>
      <c r="P92" s="200">
        <f t="shared" si="23"/>
        <v>166716.9810915493</v>
      </c>
      <c r="Q92" s="200">
        <f t="shared" si="24"/>
        <v>166716.9810915493</v>
      </c>
    </row>
    <row r="93" spans="1:17" ht="47.25" x14ac:dyDescent="0.25">
      <c r="A93" s="304" t="s">
        <v>2879</v>
      </c>
      <c r="B93" s="274" t="s">
        <v>2674</v>
      </c>
      <c r="C93" s="315"/>
      <c r="D93" s="320"/>
      <c r="E93" s="346" t="s">
        <v>2814</v>
      </c>
      <c r="F93" s="223"/>
      <c r="G93" s="217"/>
      <c r="H93" s="217"/>
      <c r="I93" s="200">
        <f t="shared" si="25"/>
        <v>200303.81305961759</v>
      </c>
      <c r="J93" s="200">
        <f t="shared" si="26"/>
        <v>200303.81305961759</v>
      </c>
      <c r="K93" s="216" t="s">
        <v>2786</v>
      </c>
      <c r="L93" s="216" t="s">
        <v>2787</v>
      </c>
      <c r="M93" s="200">
        <v>200303.81305961759</v>
      </c>
      <c r="N93" s="200">
        <f t="shared" si="27"/>
        <v>200303.81305961759</v>
      </c>
      <c r="O93" s="216" t="s">
        <v>2749</v>
      </c>
      <c r="P93" s="200">
        <f t="shared" si="23"/>
        <v>200303.81305961759</v>
      </c>
      <c r="Q93" s="200">
        <f t="shared" si="24"/>
        <v>200303.81305961759</v>
      </c>
    </row>
    <row r="94" spans="1:17" ht="47.25" x14ac:dyDescent="0.25">
      <c r="A94" s="304" t="s">
        <v>2880</v>
      </c>
      <c r="B94" s="274" t="s">
        <v>2675</v>
      </c>
      <c r="C94" s="315"/>
      <c r="D94" s="320"/>
      <c r="E94" s="346" t="s">
        <v>2814</v>
      </c>
      <c r="F94" s="223"/>
      <c r="G94" s="217"/>
      <c r="H94" s="217"/>
      <c r="I94" s="200">
        <f t="shared" si="25"/>
        <v>696453.26267924532</v>
      </c>
      <c r="J94" s="200">
        <f t="shared" si="26"/>
        <v>696453.26267924532</v>
      </c>
      <c r="K94" s="216" t="s">
        <v>2788</v>
      </c>
      <c r="L94" s="216" t="s">
        <v>2789</v>
      </c>
      <c r="M94" s="200">
        <v>696453.26267924532</v>
      </c>
      <c r="N94" s="200">
        <f t="shared" si="27"/>
        <v>696453.26267924532</v>
      </c>
      <c r="O94" s="216" t="s">
        <v>2749</v>
      </c>
      <c r="P94" s="200">
        <f t="shared" si="23"/>
        <v>696453.26267924532</v>
      </c>
      <c r="Q94" s="200">
        <f t="shared" si="24"/>
        <v>696453.26267924532</v>
      </c>
    </row>
    <row r="95" spans="1:17" ht="47.25" x14ac:dyDescent="0.25">
      <c r="A95" s="304" t="s">
        <v>2881</v>
      </c>
      <c r="B95" s="274" t="s">
        <v>2676</v>
      </c>
      <c r="C95" s="315"/>
      <c r="D95" s="320"/>
      <c r="E95" s="346" t="s">
        <v>2814</v>
      </c>
      <c r="F95" s="223"/>
      <c r="G95" s="217"/>
      <c r="H95" s="217"/>
      <c r="I95" s="200">
        <f t="shared" si="25"/>
        <v>482835.30569608737</v>
      </c>
      <c r="J95" s="200">
        <f t="shared" si="26"/>
        <v>482835.30569608737</v>
      </c>
      <c r="K95" s="216" t="s">
        <v>2790</v>
      </c>
      <c r="L95" s="216" t="s">
        <v>2791</v>
      </c>
      <c r="M95" s="200">
        <v>482835.30569608737</v>
      </c>
      <c r="N95" s="200">
        <f t="shared" si="27"/>
        <v>482835.30569608737</v>
      </c>
      <c r="O95" s="216" t="s">
        <v>2749</v>
      </c>
      <c r="P95" s="200">
        <f t="shared" si="23"/>
        <v>482835.30569608737</v>
      </c>
      <c r="Q95" s="200">
        <f t="shared" si="24"/>
        <v>482835.30569608737</v>
      </c>
    </row>
    <row r="96" spans="1:17" ht="47.25" x14ac:dyDescent="0.25">
      <c r="A96" s="304" t="s">
        <v>2882</v>
      </c>
      <c r="B96" s="274" t="s">
        <v>2677</v>
      </c>
      <c r="C96" s="315"/>
      <c r="D96" s="320"/>
      <c r="E96" s="346" t="s">
        <v>2814</v>
      </c>
      <c r="F96" s="223"/>
      <c r="G96" s="217"/>
      <c r="H96" s="217"/>
      <c r="I96" s="200">
        <f t="shared" si="25"/>
        <v>3000263.7298892634</v>
      </c>
      <c r="J96" s="200">
        <f t="shared" si="26"/>
        <v>3000263.7298892634</v>
      </c>
      <c r="K96" s="216" t="s">
        <v>2792</v>
      </c>
      <c r="L96" s="216" t="s">
        <v>2793</v>
      </c>
      <c r="M96" s="200">
        <v>3000263.7298892634</v>
      </c>
      <c r="N96" s="200">
        <f t="shared" si="27"/>
        <v>3000263.7298892634</v>
      </c>
      <c r="O96" s="216" t="s">
        <v>2749</v>
      </c>
      <c r="P96" s="200">
        <f t="shared" si="23"/>
        <v>3000263.7298892634</v>
      </c>
      <c r="Q96" s="200">
        <f t="shared" si="24"/>
        <v>3000263.7298892634</v>
      </c>
    </row>
    <row r="97" spans="1:19" ht="47.25" x14ac:dyDescent="0.25">
      <c r="A97" s="304" t="s">
        <v>2883</v>
      </c>
      <c r="B97" s="274" t="s">
        <v>2678</v>
      </c>
      <c r="C97" s="315"/>
      <c r="D97" s="320"/>
      <c r="E97" s="346" t="s">
        <v>2814</v>
      </c>
      <c r="F97" s="223"/>
      <c r="G97" s="217"/>
      <c r="H97" s="217"/>
      <c r="I97" s="200">
        <f t="shared" si="25"/>
        <v>1523357.5901412871</v>
      </c>
      <c r="J97" s="200">
        <f t="shared" si="26"/>
        <v>1523357.5901412871</v>
      </c>
      <c r="K97" s="216" t="s">
        <v>2794</v>
      </c>
      <c r="L97" s="216" t="s">
        <v>2795</v>
      </c>
      <c r="M97" s="200">
        <v>1523357.5901412871</v>
      </c>
      <c r="N97" s="200">
        <f t="shared" si="27"/>
        <v>1523357.5901412871</v>
      </c>
      <c r="O97" s="216" t="s">
        <v>2749</v>
      </c>
      <c r="P97" s="200">
        <f t="shared" si="23"/>
        <v>1523357.5901412871</v>
      </c>
      <c r="Q97" s="200">
        <f t="shared" si="24"/>
        <v>1523357.5901412871</v>
      </c>
    </row>
    <row r="98" spans="1:19" ht="47.25" x14ac:dyDescent="0.25">
      <c r="A98" s="304" t="s">
        <v>2884</v>
      </c>
      <c r="B98" s="274" t="s">
        <v>2679</v>
      </c>
      <c r="C98" s="315"/>
      <c r="D98" s="320"/>
      <c r="E98" s="346" t="s">
        <v>2814</v>
      </c>
      <c r="F98" s="223"/>
      <c r="G98" s="217"/>
      <c r="H98" s="217"/>
      <c r="I98" s="200">
        <f t="shared" si="25"/>
        <v>36011.853302752294</v>
      </c>
      <c r="J98" s="200">
        <f t="shared" si="26"/>
        <v>36011.853302752294</v>
      </c>
      <c r="K98" s="216" t="s">
        <v>2796</v>
      </c>
      <c r="L98" s="216" t="s">
        <v>2797</v>
      </c>
      <c r="M98" s="200">
        <v>36011.853302752294</v>
      </c>
      <c r="N98" s="200">
        <f t="shared" si="27"/>
        <v>36011.853302752294</v>
      </c>
      <c r="O98" s="216" t="s">
        <v>2749</v>
      </c>
      <c r="P98" s="200">
        <f t="shared" si="23"/>
        <v>36011.853302752294</v>
      </c>
      <c r="Q98" s="200">
        <f t="shared" si="24"/>
        <v>36011.853302752294</v>
      </c>
    </row>
    <row r="99" spans="1:19" ht="47.25" x14ac:dyDescent="0.25">
      <c r="A99" s="304" t="s">
        <v>2885</v>
      </c>
      <c r="B99" s="274" t="s">
        <v>2922</v>
      </c>
      <c r="C99" s="315"/>
      <c r="D99" s="320"/>
      <c r="E99" s="346" t="s">
        <v>2814</v>
      </c>
      <c r="F99" s="223"/>
      <c r="G99" s="217"/>
      <c r="H99" s="217"/>
      <c r="I99" s="200">
        <f t="shared" si="25"/>
        <v>144439.00111111114</v>
      </c>
      <c r="J99" s="200">
        <f t="shared" si="26"/>
        <v>144439.00111111114</v>
      </c>
      <c r="K99" s="216" t="s">
        <v>2798</v>
      </c>
      <c r="L99" s="216" t="s">
        <v>2806</v>
      </c>
      <c r="M99" s="200">
        <v>144439.00111111114</v>
      </c>
      <c r="N99" s="200">
        <f t="shared" si="27"/>
        <v>144439.00111111114</v>
      </c>
      <c r="O99" s="216" t="s">
        <v>2749</v>
      </c>
      <c r="P99" s="200">
        <f t="shared" si="23"/>
        <v>144439.00111111114</v>
      </c>
      <c r="Q99" s="200">
        <f t="shared" si="24"/>
        <v>144439.00111111114</v>
      </c>
    </row>
    <row r="100" spans="1:19" ht="47.25" x14ac:dyDescent="0.25">
      <c r="A100" s="304" t="s">
        <v>2886</v>
      </c>
      <c r="B100" s="274" t="s">
        <v>2680</v>
      </c>
      <c r="C100" s="315"/>
      <c r="D100" s="320"/>
      <c r="E100" s="346" t="s">
        <v>2814</v>
      </c>
      <c r="F100" s="223"/>
      <c r="G100" s="217"/>
      <c r="H100" s="217"/>
      <c r="I100" s="200">
        <f t="shared" si="25"/>
        <v>363445.37538461538</v>
      </c>
      <c r="J100" s="200">
        <f t="shared" si="26"/>
        <v>363445.37538461538</v>
      </c>
      <c r="K100" s="216" t="s">
        <v>2799</v>
      </c>
      <c r="L100" s="216" t="s">
        <v>2807</v>
      </c>
      <c r="M100" s="200">
        <v>363445.37538461538</v>
      </c>
      <c r="N100" s="200">
        <f t="shared" si="27"/>
        <v>363445.37538461538</v>
      </c>
      <c r="O100" s="216" t="s">
        <v>2749</v>
      </c>
      <c r="P100" s="200">
        <f t="shared" si="23"/>
        <v>363445.37538461538</v>
      </c>
      <c r="Q100" s="200">
        <f t="shared" si="24"/>
        <v>363445.37538461538</v>
      </c>
    </row>
    <row r="101" spans="1:19" ht="47.25" x14ac:dyDescent="0.25">
      <c r="A101" s="304" t="s">
        <v>2887</v>
      </c>
      <c r="B101" s="274" t="s">
        <v>2681</v>
      </c>
      <c r="C101" s="315"/>
      <c r="D101" s="320"/>
      <c r="E101" s="346" t="s">
        <v>2814</v>
      </c>
      <c r="F101" s="223"/>
      <c r="G101" s="217"/>
      <c r="H101" s="217"/>
      <c r="I101" s="200">
        <f t="shared" si="25"/>
        <v>700512.57809954754</v>
      </c>
      <c r="J101" s="200">
        <f t="shared" si="26"/>
        <v>700512.57809954754</v>
      </c>
      <c r="K101" s="216" t="s">
        <v>2800</v>
      </c>
      <c r="L101" s="216" t="s">
        <v>2808</v>
      </c>
      <c r="M101" s="200">
        <v>700512.57809954754</v>
      </c>
      <c r="N101" s="200">
        <f t="shared" si="27"/>
        <v>700512.57809954754</v>
      </c>
      <c r="O101" s="216" t="s">
        <v>2749</v>
      </c>
      <c r="P101" s="200">
        <f t="shared" si="23"/>
        <v>700512.57809954754</v>
      </c>
      <c r="Q101" s="200">
        <f t="shared" si="24"/>
        <v>700512.57809954754</v>
      </c>
    </row>
    <row r="102" spans="1:19" ht="47.25" x14ac:dyDescent="0.25">
      <c r="A102" s="304" t="s">
        <v>2888</v>
      </c>
      <c r="B102" s="274" t="s">
        <v>2682</v>
      </c>
      <c r="C102" s="315"/>
      <c r="D102" s="320"/>
      <c r="E102" s="346" t="s">
        <v>2814</v>
      </c>
      <c r="F102" s="223"/>
      <c r="G102" s="217"/>
      <c r="H102" s="217"/>
      <c r="I102" s="200">
        <f t="shared" si="25"/>
        <v>33461.024655172412</v>
      </c>
      <c r="J102" s="200">
        <f t="shared" si="26"/>
        <v>33461.024655172412</v>
      </c>
      <c r="K102" s="216" t="s">
        <v>2801</v>
      </c>
      <c r="L102" s="216" t="s">
        <v>2809</v>
      </c>
      <c r="M102" s="200">
        <v>33461.024655172412</v>
      </c>
      <c r="N102" s="200">
        <f t="shared" si="27"/>
        <v>33461.024655172412</v>
      </c>
      <c r="O102" s="216" t="s">
        <v>2749</v>
      </c>
      <c r="P102" s="200">
        <f t="shared" si="23"/>
        <v>33461.024655172412</v>
      </c>
      <c r="Q102" s="200">
        <f t="shared" si="24"/>
        <v>33461.024655172412</v>
      </c>
    </row>
    <row r="103" spans="1:19" ht="47.25" x14ac:dyDescent="0.25">
      <c r="A103" s="304" t="s">
        <v>2889</v>
      </c>
      <c r="B103" s="274" t="s">
        <v>2683</v>
      </c>
      <c r="C103" s="315"/>
      <c r="D103" s="320"/>
      <c r="E103" s="346" t="s">
        <v>2814</v>
      </c>
      <c r="F103" s="223"/>
      <c r="G103" s="217"/>
      <c r="H103" s="217"/>
      <c r="I103" s="200">
        <f t="shared" si="25"/>
        <v>131094.13</v>
      </c>
      <c r="J103" s="200">
        <f t="shared" si="26"/>
        <v>131094.13</v>
      </c>
      <c r="K103" s="216" t="s">
        <v>2802</v>
      </c>
      <c r="L103" s="216" t="s">
        <v>2810</v>
      </c>
      <c r="M103" s="200">
        <v>131094.13</v>
      </c>
      <c r="N103" s="200">
        <f t="shared" si="27"/>
        <v>131094.13</v>
      </c>
      <c r="O103" s="216" t="s">
        <v>2749</v>
      </c>
      <c r="P103" s="200">
        <f t="shared" si="23"/>
        <v>131094.13</v>
      </c>
      <c r="Q103" s="200">
        <f t="shared" si="24"/>
        <v>131094.13</v>
      </c>
    </row>
    <row r="104" spans="1:19" ht="47.25" x14ac:dyDescent="0.25">
      <c r="A104" s="304" t="s">
        <v>2890</v>
      </c>
      <c r="B104" s="274" t="s">
        <v>2684</v>
      </c>
      <c r="C104" s="315"/>
      <c r="D104" s="320"/>
      <c r="E104" s="346" t="s">
        <v>2814</v>
      </c>
      <c r="F104" s="223"/>
      <c r="G104" s="217"/>
      <c r="H104" s="217"/>
      <c r="I104" s="200">
        <f t="shared" si="25"/>
        <v>394561.44085889554</v>
      </c>
      <c r="J104" s="200">
        <f t="shared" si="26"/>
        <v>394561.44085889554</v>
      </c>
      <c r="K104" s="216" t="s">
        <v>2803</v>
      </c>
      <c r="L104" s="216" t="s">
        <v>2811</v>
      </c>
      <c r="M104" s="200">
        <v>394561.44085889554</v>
      </c>
      <c r="N104" s="200">
        <f t="shared" si="27"/>
        <v>394561.44085889554</v>
      </c>
      <c r="O104" s="216" t="s">
        <v>2749</v>
      </c>
      <c r="P104" s="200">
        <f t="shared" si="23"/>
        <v>394561.44085889554</v>
      </c>
      <c r="Q104" s="200">
        <f t="shared" si="24"/>
        <v>394561.44085889554</v>
      </c>
    </row>
    <row r="105" spans="1:19" ht="47.25" x14ac:dyDescent="0.25">
      <c r="A105" s="304" t="s">
        <v>2891</v>
      </c>
      <c r="B105" s="274" t="s">
        <v>2685</v>
      </c>
      <c r="C105" s="315"/>
      <c r="D105" s="320"/>
      <c r="E105" s="346" t="s">
        <v>2814</v>
      </c>
      <c r="F105" s="223"/>
      <c r="G105" s="217"/>
      <c r="H105" s="217"/>
      <c r="I105" s="200">
        <f t="shared" si="25"/>
        <v>177412.70828979794</v>
      </c>
      <c r="J105" s="200">
        <f t="shared" si="26"/>
        <v>177412.70828979794</v>
      </c>
      <c r="K105" s="216" t="s">
        <v>2804</v>
      </c>
      <c r="L105" s="216" t="s">
        <v>2812</v>
      </c>
      <c r="M105" s="200">
        <v>177412.70828979794</v>
      </c>
      <c r="N105" s="200">
        <f t="shared" si="27"/>
        <v>177412.70828979794</v>
      </c>
      <c r="O105" s="216" t="s">
        <v>2749</v>
      </c>
      <c r="P105" s="200">
        <f t="shared" si="23"/>
        <v>177412.70828979794</v>
      </c>
      <c r="Q105" s="200">
        <f t="shared" si="24"/>
        <v>177412.70828979794</v>
      </c>
    </row>
    <row r="106" spans="1:19" ht="47.25" x14ac:dyDescent="0.25">
      <c r="A106" s="304" t="s">
        <v>2892</v>
      </c>
      <c r="B106" s="274" t="s">
        <v>2686</v>
      </c>
      <c r="C106" s="315"/>
      <c r="D106" s="320"/>
      <c r="E106" s="346" t="s">
        <v>2814</v>
      </c>
      <c r="F106" s="223"/>
      <c r="G106" s="217"/>
      <c r="H106" s="217"/>
      <c r="I106" s="200">
        <f t="shared" si="25"/>
        <v>97237.917471566077</v>
      </c>
      <c r="J106" s="200">
        <f t="shared" si="26"/>
        <v>97237.917471566077</v>
      </c>
      <c r="K106" s="216" t="s">
        <v>2805</v>
      </c>
      <c r="L106" s="216" t="s">
        <v>2813</v>
      </c>
      <c r="M106" s="200">
        <v>97237.917471566077</v>
      </c>
      <c r="N106" s="200">
        <f t="shared" si="27"/>
        <v>97237.917471566077</v>
      </c>
      <c r="O106" s="216" t="s">
        <v>2749</v>
      </c>
      <c r="P106" s="200">
        <f t="shared" si="23"/>
        <v>97237.917471566077</v>
      </c>
      <c r="Q106" s="200">
        <f t="shared" si="24"/>
        <v>97237.917471566077</v>
      </c>
    </row>
    <row r="107" spans="1:19" ht="31.5" x14ac:dyDescent="0.25">
      <c r="A107" s="304" t="s">
        <v>2893</v>
      </c>
      <c r="B107" s="319" t="s">
        <v>2413</v>
      </c>
      <c r="C107" s="320">
        <v>176</v>
      </c>
      <c r="D107" s="320" t="s">
        <v>677</v>
      </c>
      <c r="E107" s="346" t="s">
        <v>2814</v>
      </c>
      <c r="F107" s="223">
        <v>360134.11</v>
      </c>
      <c r="G107" s="217">
        <v>17165</v>
      </c>
      <c r="H107" s="221">
        <v>42677</v>
      </c>
      <c r="I107" s="324">
        <v>360134.11</v>
      </c>
      <c r="J107" s="200">
        <f>I107</f>
        <v>360134.11</v>
      </c>
      <c r="K107" s="216">
        <v>176</v>
      </c>
      <c r="L107" s="222">
        <v>42660</v>
      </c>
      <c r="M107" s="324">
        <f>I107</f>
        <v>360134.11</v>
      </c>
      <c r="N107" s="324">
        <f>J107</f>
        <v>360134.11</v>
      </c>
      <c r="O107" s="321"/>
      <c r="P107" s="316">
        <f>M107</f>
        <v>360134.11</v>
      </c>
      <c r="Q107" s="316">
        <f>N107</f>
        <v>360134.11</v>
      </c>
      <c r="R107" s="137">
        <v>13582605.560000001</v>
      </c>
      <c r="S107" s="196">
        <f>SUM(M107:M140)-R107</f>
        <v>0</v>
      </c>
    </row>
    <row r="108" spans="1:19" ht="47.25" customHeight="1" x14ac:dyDescent="0.25">
      <c r="A108" s="447" t="s">
        <v>2894</v>
      </c>
      <c r="B108" s="466" t="s">
        <v>2414</v>
      </c>
      <c r="C108" s="488" t="s">
        <v>2273</v>
      </c>
      <c r="D108" s="488" t="s">
        <v>2272</v>
      </c>
      <c r="E108" s="488" t="s">
        <v>2814</v>
      </c>
      <c r="F108" s="472">
        <v>60000</v>
      </c>
      <c r="G108" s="217">
        <v>29364</v>
      </c>
      <c r="H108" s="221">
        <v>42797</v>
      </c>
      <c r="I108" s="324">
        <v>20000</v>
      </c>
      <c r="J108" s="200">
        <f>I108</f>
        <v>20000</v>
      </c>
      <c r="K108" s="468" t="s">
        <v>2389</v>
      </c>
      <c r="L108" s="470">
        <v>42661</v>
      </c>
      <c r="M108" s="478">
        <f>I108+I109+I110</f>
        <v>60000</v>
      </c>
      <c r="N108" s="478">
        <f>J108+J109+J110</f>
        <v>60000</v>
      </c>
      <c r="O108" s="501"/>
      <c r="P108" s="474">
        <f t="shared" ref="P108:Q140" si="28">M108</f>
        <v>60000</v>
      </c>
      <c r="Q108" s="474">
        <f t="shared" si="28"/>
        <v>60000</v>
      </c>
      <c r="R108" s="137"/>
    </row>
    <row r="109" spans="1:19" ht="15.75" customHeight="1" x14ac:dyDescent="0.25">
      <c r="A109" s="448"/>
      <c r="B109" s="484"/>
      <c r="C109" s="493"/>
      <c r="D109" s="493"/>
      <c r="E109" s="493"/>
      <c r="F109" s="485"/>
      <c r="G109" s="217">
        <v>145</v>
      </c>
      <c r="H109" s="221">
        <v>42689</v>
      </c>
      <c r="I109" s="324">
        <v>10000</v>
      </c>
      <c r="J109" s="200">
        <f>I109</f>
        <v>10000</v>
      </c>
      <c r="K109" s="476"/>
      <c r="L109" s="476"/>
      <c r="M109" s="479"/>
      <c r="N109" s="479"/>
      <c r="O109" s="502"/>
      <c r="P109" s="496"/>
      <c r="Q109" s="496"/>
      <c r="R109" s="137"/>
    </row>
    <row r="110" spans="1:19" ht="15.75" customHeight="1" x14ac:dyDescent="0.25">
      <c r="A110" s="449"/>
      <c r="B110" s="467"/>
      <c r="C110" s="489"/>
      <c r="D110" s="489"/>
      <c r="E110" s="489"/>
      <c r="F110" s="473"/>
      <c r="G110" s="217">
        <v>17278</v>
      </c>
      <c r="H110" s="221" t="s">
        <v>2274</v>
      </c>
      <c r="I110" s="324">
        <v>30000</v>
      </c>
      <c r="J110" s="200">
        <f>I110</f>
        <v>30000</v>
      </c>
      <c r="K110" s="469"/>
      <c r="L110" s="469"/>
      <c r="M110" s="480"/>
      <c r="N110" s="480"/>
      <c r="O110" s="503"/>
      <c r="P110" s="475"/>
      <c r="Q110" s="475"/>
      <c r="R110" s="137"/>
    </row>
    <row r="111" spans="1:19" ht="31.5" customHeight="1" x14ac:dyDescent="0.25">
      <c r="A111" s="447" t="s">
        <v>2895</v>
      </c>
      <c r="B111" s="351" t="s">
        <v>2415</v>
      </c>
      <c r="C111" s="325" t="s">
        <v>2706</v>
      </c>
      <c r="D111" s="320" t="s">
        <v>2707</v>
      </c>
      <c r="E111" s="284"/>
      <c r="F111" s="230">
        <f>N111</f>
        <v>35200.001799999998</v>
      </c>
      <c r="G111" s="217">
        <v>28751</v>
      </c>
      <c r="H111" s="221">
        <v>42781</v>
      </c>
      <c r="I111" s="324">
        <v>29830.51</v>
      </c>
      <c r="J111" s="200">
        <f t="shared" ref="J111:J116" si="29">I111*1.18</f>
        <v>35200.001799999998</v>
      </c>
      <c r="K111" s="216">
        <v>1</v>
      </c>
      <c r="L111" s="222">
        <v>42780</v>
      </c>
      <c r="M111" s="324">
        <f t="shared" ref="M111:N134" si="30">I111</f>
        <v>29830.51</v>
      </c>
      <c r="N111" s="324">
        <f t="shared" si="30"/>
        <v>35200.001799999998</v>
      </c>
      <c r="O111" s="321"/>
      <c r="P111" s="316">
        <f t="shared" si="28"/>
        <v>29830.51</v>
      </c>
      <c r="Q111" s="316">
        <f t="shared" si="28"/>
        <v>35200.001799999998</v>
      </c>
      <c r="R111" s="137"/>
    </row>
    <row r="112" spans="1:19" ht="31.5" customHeight="1" x14ac:dyDescent="0.25">
      <c r="A112" s="448"/>
      <c r="B112" s="466" t="s">
        <v>2415</v>
      </c>
      <c r="C112" s="472" t="s">
        <v>2271</v>
      </c>
      <c r="D112" s="488" t="s">
        <v>655</v>
      </c>
      <c r="E112" s="493"/>
      <c r="F112" s="485">
        <f>N112</f>
        <v>3721848</v>
      </c>
      <c r="G112" s="217">
        <v>18402</v>
      </c>
      <c r="H112" s="221">
        <v>42706</v>
      </c>
      <c r="I112" s="324">
        <f>500000/1.18</f>
        <v>423728.81355932204</v>
      </c>
      <c r="J112" s="200">
        <f t="shared" si="29"/>
        <v>500000</v>
      </c>
      <c r="K112" s="468">
        <v>1</v>
      </c>
      <c r="L112" s="470">
        <v>42786</v>
      </c>
      <c r="M112" s="478">
        <f>I112+I113+I114+I115+I116</f>
        <v>3154108.4745762711</v>
      </c>
      <c r="N112" s="478">
        <f>J112+J113+J114+J115+J116</f>
        <v>3721848</v>
      </c>
      <c r="O112" s="501"/>
      <c r="P112" s="474">
        <f>M112</f>
        <v>3154108.4745762711</v>
      </c>
      <c r="Q112" s="474">
        <f>N112</f>
        <v>3721848</v>
      </c>
      <c r="R112" s="137"/>
    </row>
    <row r="113" spans="1:18" ht="15.75" customHeight="1" x14ac:dyDescent="0.25">
      <c r="A113" s="448"/>
      <c r="B113" s="484"/>
      <c r="C113" s="485"/>
      <c r="D113" s="493"/>
      <c r="E113" s="493"/>
      <c r="F113" s="485"/>
      <c r="G113" s="217">
        <v>18893</v>
      </c>
      <c r="H113" s="221">
        <v>42718</v>
      </c>
      <c r="I113" s="324">
        <f>500000/1.18</f>
        <v>423728.81355932204</v>
      </c>
      <c r="J113" s="200">
        <f t="shared" si="29"/>
        <v>500000</v>
      </c>
      <c r="K113" s="476"/>
      <c r="L113" s="477"/>
      <c r="M113" s="479"/>
      <c r="N113" s="479"/>
      <c r="O113" s="502"/>
      <c r="P113" s="496"/>
      <c r="Q113" s="496"/>
      <c r="R113" s="137"/>
    </row>
    <row r="114" spans="1:18" ht="15.75" customHeight="1" x14ac:dyDescent="0.25">
      <c r="A114" s="448"/>
      <c r="B114" s="484"/>
      <c r="C114" s="485"/>
      <c r="D114" s="493"/>
      <c r="E114" s="493"/>
      <c r="F114" s="485"/>
      <c r="G114" s="217">
        <v>19482</v>
      </c>
      <c r="H114" s="221" t="s">
        <v>2275</v>
      </c>
      <c r="I114" s="324">
        <f>800000/1.18</f>
        <v>677966.10169491533</v>
      </c>
      <c r="J114" s="200">
        <f t="shared" si="29"/>
        <v>800000</v>
      </c>
      <c r="K114" s="476"/>
      <c r="L114" s="477"/>
      <c r="M114" s="479"/>
      <c r="N114" s="479"/>
      <c r="O114" s="502"/>
      <c r="P114" s="496"/>
      <c r="Q114" s="496"/>
      <c r="R114" s="137"/>
    </row>
    <row r="115" spans="1:18" ht="15.75" customHeight="1" x14ac:dyDescent="0.25">
      <c r="A115" s="448"/>
      <c r="B115" s="484"/>
      <c r="C115" s="485"/>
      <c r="D115" s="493"/>
      <c r="E115" s="493"/>
      <c r="F115" s="485"/>
      <c r="G115" s="217">
        <v>307</v>
      </c>
      <c r="H115" s="221" t="s">
        <v>2276</v>
      </c>
      <c r="I115" s="324">
        <f>825429/1.18</f>
        <v>699516.10169491533</v>
      </c>
      <c r="J115" s="200">
        <f t="shared" si="29"/>
        <v>825429</v>
      </c>
      <c r="K115" s="476"/>
      <c r="L115" s="477"/>
      <c r="M115" s="479"/>
      <c r="N115" s="479"/>
      <c r="O115" s="502"/>
      <c r="P115" s="496"/>
      <c r="Q115" s="496"/>
      <c r="R115" s="137"/>
    </row>
    <row r="116" spans="1:18" ht="15.75" customHeight="1" x14ac:dyDescent="0.25">
      <c r="A116" s="449"/>
      <c r="B116" s="467"/>
      <c r="C116" s="473"/>
      <c r="D116" s="489"/>
      <c r="E116" s="489"/>
      <c r="F116" s="473"/>
      <c r="G116" s="217">
        <v>29346</v>
      </c>
      <c r="H116" s="221" t="s">
        <v>2277</v>
      </c>
      <c r="I116" s="324">
        <f>1096419/1.18</f>
        <v>929168.64406779665</v>
      </c>
      <c r="J116" s="200">
        <f t="shared" si="29"/>
        <v>1096419</v>
      </c>
      <c r="K116" s="469"/>
      <c r="L116" s="471"/>
      <c r="M116" s="480"/>
      <c r="N116" s="480"/>
      <c r="O116" s="503"/>
      <c r="P116" s="475"/>
      <c r="Q116" s="475"/>
      <c r="R116" s="137"/>
    </row>
    <row r="117" spans="1:18" ht="31.5" customHeight="1" x14ac:dyDescent="0.25">
      <c r="A117" s="447" t="s">
        <v>2896</v>
      </c>
      <c r="B117" s="466" t="s">
        <v>2420</v>
      </c>
      <c r="C117" s="504"/>
      <c r="D117" s="470"/>
      <c r="E117" s="504"/>
      <c r="F117" s="504"/>
      <c r="G117" s="217"/>
      <c r="H117" s="221"/>
      <c r="I117" s="200"/>
      <c r="J117" s="200">
        <f>I117</f>
        <v>0</v>
      </c>
      <c r="K117" s="216" t="s">
        <v>2183</v>
      </c>
      <c r="L117" s="222">
        <v>42809</v>
      </c>
      <c r="M117" s="324">
        <v>297582</v>
      </c>
      <c r="N117" s="324">
        <f>M117</f>
        <v>297582</v>
      </c>
      <c r="O117" s="321"/>
      <c r="P117" s="316">
        <f t="shared" si="28"/>
        <v>297582</v>
      </c>
      <c r="Q117" s="316">
        <f t="shared" si="28"/>
        <v>297582</v>
      </c>
      <c r="R117" s="137"/>
    </row>
    <row r="118" spans="1:18" ht="31.5" customHeight="1" x14ac:dyDescent="0.25">
      <c r="A118" s="449"/>
      <c r="B118" s="467"/>
      <c r="C118" s="505"/>
      <c r="D118" s="471"/>
      <c r="E118" s="505"/>
      <c r="F118" s="505"/>
      <c r="G118" s="217"/>
      <c r="H118" s="221"/>
      <c r="I118" s="324"/>
      <c r="J118" s="200"/>
      <c r="K118" s="216" t="s">
        <v>2174</v>
      </c>
      <c r="L118" s="222">
        <v>42886</v>
      </c>
      <c r="M118" s="324">
        <v>70337</v>
      </c>
      <c r="N118" s="324">
        <f>M118</f>
        <v>70337</v>
      </c>
      <c r="O118" s="321"/>
      <c r="P118" s="316">
        <f t="shared" si="28"/>
        <v>70337</v>
      </c>
      <c r="Q118" s="316">
        <f t="shared" si="28"/>
        <v>70337</v>
      </c>
      <c r="R118" s="137"/>
    </row>
    <row r="119" spans="1:18" ht="47.25" x14ac:dyDescent="0.25">
      <c r="A119" s="304"/>
      <c r="B119" s="319" t="s">
        <v>2412</v>
      </c>
      <c r="C119" s="320">
        <v>45</v>
      </c>
      <c r="D119" s="320" t="s">
        <v>165</v>
      </c>
      <c r="E119" s="220"/>
      <c r="F119" s="223">
        <v>207904.43</v>
      </c>
      <c r="G119" s="217">
        <v>30373</v>
      </c>
      <c r="H119" s="221">
        <v>42823</v>
      </c>
      <c r="I119" s="324">
        <v>207904.43</v>
      </c>
      <c r="J119" s="200">
        <f>I119</f>
        <v>207904.43</v>
      </c>
      <c r="K119" s="216">
        <v>1</v>
      </c>
      <c r="L119" s="222">
        <v>42809</v>
      </c>
      <c r="M119" s="324">
        <f t="shared" si="30"/>
        <v>207904.43</v>
      </c>
      <c r="N119" s="324">
        <f>J119</f>
        <v>207904.43</v>
      </c>
      <c r="O119" s="321"/>
      <c r="P119" s="316">
        <f t="shared" si="28"/>
        <v>207904.43</v>
      </c>
      <c r="Q119" s="316">
        <f t="shared" si="28"/>
        <v>207904.43</v>
      </c>
      <c r="R119" s="137"/>
    </row>
    <row r="120" spans="1:18" ht="47.25" x14ac:dyDescent="0.25">
      <c r="A120" s="304"/>
      <c r="B120" s="319" t="s">
        <v>2416</v>
      </c>
      <c r="C120" s="329" t="s">
        <v>2279</v>
      </c>
      <c r="D120" s="320" t="s">
        <v>2278</v>
      </c>
      <c r="E120" s="220"/>
      <c r="F120" s="230">
        <v>211000</v>
      </c>
      <c r="G120" s="217">
        <v>55998</v>
      </c>
      <c r="H120" s="221">
        <v>43089</v>
      </c>
      <c r="I120" s="324">
        <v>178813.56</v>
      </c>
      <c r="J120" s="200">
        <f t="shared" ref="J120:J129" si="31">I120*1.18</f>
        <v>211000.00079999998</v>
      </c>
      <c r="K120" s="216">
        <v>2</v>
      </c>
      <c r="L120" s="222">
        <v>43083</v>
      </c>
      <c r="M120" s="324">
        <f t="shared" si="30"/>
        <v>178813.56</v>
      </c>
      <c r="N120" s="324">
        <f t="shared" si="30"/>
        <v>211000.00079999998</v>
      </c>
      <c r="O120" s="321"/>
      <c r="P120" s="316">
        <f t="shared" si="28"/>
        <v>178813.56</v>
      </c>
      <c r="Q120" s="316">
        <f t="shared" si="28"/>
        <v>211000.00079999998</v>
      </c>
      <c r="R120" s="137"/>
    </row>
    <row r="121" spans="1:18" ht="31.5" customHeight="1" x14ac:dyDescent="0.25">
      <c r="A121" s="447"/>
      <c r="B121" s="466" t="s">
        <v>2417</v>
      </c>
      <c r="C121" s="472" t="s">
        <v>2708</v>
      </c>
      <c r="D121" s="488" t="s">
        <v>2709</v>
      </c>
      <c r="E121" s="488"/>
      <c r="F121" s="478">
        <v>2024362</v>
      </c>
      <c r="G121" s="217">
        <v>17307</v>
      </c>
      <c r="H121" s="221">
        <v>43173</v>
      </c>
      <c r="I121" s="324">
        <f>374064.5/1.18</f>
        <v>317003.81355932204</v>
      </c>
      <c r="J121" s="200">
        <f t="shared" si="31"/>
        <v>374064.5</v>
      </c>
      <c r="K121" s="468">
        <v>1</v>
      </c>
      <c r="L121" s="470">
        <v>43145</v>
      </c>
      <c r="M121" s="478">
        <f>I121+I122+I123+I124+I125+I126+I127</f>
        <v>1715561.0169491528</v>
      </c>
      <c r="N121" s="478">
        <f>J121+J122+J123+J124+J125+J126+J127</f>
        <v>2024362</v>
      </c>
      <c r="O121" s="501"/>
      <c r="P121" s="474">
        <f>M121</f>
        <v>1715561.0169491528</v>
      </c>
      <c r="Q121" s="474">
        <f>N121</f>
        <v>2024362</v>
      </c>
      <c r="R121" s="137"/>
    </row>
    <row r="122" spans="1:18" ht="15.75" customHeight="1" x14ac:dyDescent="0.25">
      <c r="A122" s="448"/>
      <c r="B122" s="484"/>
      <c r="C122" s="485"/>
      <c r="D122" s="493"/>
      <c r="E122" s="493"/>
      <c r="F122" s="479"/>
      <c r="G122" s="217">
        <v>55254</v>
      </c>
      <c r="H122" s="221">
        <v>43075</v>
      </c>
      <c r="I122" s="324">
        <f>400000/1.18</f>
        <v>338983.05084745766</v>
      </c>
      <c r="J122" s="200">
        <f t="shared" si="31"/>
        <v>400000</v>
      </c>
      <c r="K122" s="476"/>
      <c r="L122" s="477"/>
      <c r="M122" s="479"/>
      <c r="N122" s="479"/>
      <c r="O122" s="502"/>
      <c r="P122" s="496"/>
      <c r="Q122" s="496"/>
      <c r="R122" s="137"/>
    </row>
    <row r="123" spans="1:18" ht="15.75" customHeight="1" x14ac:dyDescent="0.25">
      <c r="A123" s="448"/>
      <c r="B123" s="484"/>
      <c r="C123" s="485"/>
      <c r="D123" s="493"/>
      <c r="E123" s="493"/>
      <c r="F123" s="479"/>
      <c r="G123" s="217">
        <v>55046</v>
      </c>
      <c r="H123" s="221">
        <v>43070</v>
      </c>
      <c r="I123" s="324">
        <f>400000/1.18</f>
        <v>338983.05084745766</v>
      </c>
      <c r="J123" s="200">
        <f t="shared" si="31"/>
        <v>400000</v>
      </c>
      <c r="K123" s="476"/>
      <c r="L123" s="477"/>
      <c r="M123" s="479"/>
      <c r="N123" s="479"/>
      <c r="O123" s="502"/>
      <c r="P123" s="496"/>
      <c r="Q123" s="496"/>
      <c r="R123" s="137"/>
    </row>
    <row r="124" spans="1:18" ht="15.75" customHeight="1" x14ac:dyDescent="0.25">
      <c r="A124" s="448"/>
      <c r="B124" s="484"/>
      <c r="C124" s="485"/>
      <c r="D124" s="493"/>
      <c r="E124" s="493"/>
      <c r="F124" s="479"/>
      <c r="G124" s="217">
        <v>55008</v>
      </c>
      <c r="H124" s="221">
        <v>43069</v>
      </c>
      <c r="I124" s="324">
        <f>200000/1.18</f>
        <v>169491.52542372883</v>
      </c>
      <c r="J124" s="200">
        <f t="shared" si="31"/>
        <v>200000</v>
      </c>
      <c r="K124" s="476"/>
      <c r="L124" s="477"/>
      <c r="M124" s="479"/>
      <c r="N124" s="479"/>
      <c r="O124" s="502"/>
      <c r="P124" s="496"/>
      <c r="Q124" s="496"/>
      <c r="R124" s="137"/>
    </row>
    <row r="125" spans="1:18" ht="15.75" customHeight="1" x14ac:dyDescent="0.25">
      <c r="A125" s="448"/>
      <c r="B125" s="484"/>
      <c r="C125" s="485"/>
      <c r="D125" s="493"/>
      <c r="E125" s="493"/>
      <c r="F125" s="479"/>
      <c r="G125" s="217">
        <v>54844</v>
      </c>
      <c r="H125" s="221" t="s">
        <v>2281</v>
      </c>
      <c r="I125" s="324">
        <f>200000/1.18</f>
        <v>169491.52542372883</v>
      </c>
      <c r="J125" s="200">
        <f t="shared" si="31"/>
        <v>200000</v>
      </c>
      <c r="K125" s="476"/>
      <c r="L125" s="477"/>
      <c r="M125" s="479"/>
      <c r="N125" s="479"/>
      <c r="O125" s="502"/>
      <c r="P125" s="496"/>
      <c r="Q125" s="496"/>
      <c r="R125" s="137"/>
    </row>
    <row r="126" spans="1:18" ht="15.75" customHeight="1" x14ac:dyDescent="0.25">
      <c r="A126" s="448"/>
      <c r="B126" s="484"/>
      <c r="C126" s="485"/>
      <c r="D126" s="493"/>
      <c r="E126" s="493"/>
      <c r="F126" s="479"/>
      <c r="G126" s="217">
        <v>54723</v>
      </c>
      <c r="H126" s="221">
        <v>43066</v>
      </c>
      <c r="I126" s="324">
        <f>200000/1.18</f>
        <v>169491.52542372883</v>
      </c>
      <c r="J126" s="200">
        <f t="shared" si="31"/>
        <v>200000</v>
      </c>
      <c r="K126" s="476"/>
      <c r="L126" s="477"/>
      <c r="M126" s="479"/>
      <c r="N126" s="479"/>
      <c r="O126" s="502"/>
      <c r="P126" s="496"/>
      <c r="Q126" s="496"/>
      <c r="R126" s="137"/>
    </row>
    <row r="127" spans="1:18" ht="15.75" customHeight="1" x14ac:dyDescent="0.25">
      <c r="A127" s="449"/>
      <c r="B127" s="467"/>
      <c r="C127" s="473"/>
      <c r="D127" s="489"/>
      <c r="E127" s="489"/>
      <c r="F127" s="480"/>
      <c r="G127" s="217">
        <v>54605</v>
      </c>
      <c r="H127" s="221" t="s">
        <v>2283</v>
      </c>
      <c r="I127" s="324">
        <f>250297.5/1.18</f>
        <v>212116.52542372883</v>
      </c>
      <c r="J127" s="200">
        <f t="shared" si="31"/>
        <v>250297.5</v>
      </c>
      <c r="K127" s="469"/>
      <c r="L127" s="471"/>
      <c r="M127" s="480"/>
      <c r="N127" s="480"/>
      <c r="O127" s="503"/>
      <c r="P127" s="475"/>
      <c r="Q127" s="475"/>
      <c r="R127" s="137"/>
    </row>
    <row r="128" spans="1:18" ht="47.25" x14ac:dyDescent="0.25">
      <c r="A128" s="304"/>
      <c r="B128" s="319" t="s">
        <v>2421</v>
      </c>
      <c r="C128" s="329" t="s">
        <v>2577</v>
      </c>
      <c r="D128" s="320" t="s">
        <v>2566</v>
      </c>
      <c r="E128" s="220"/>
      <c r="F128" s="223"/>
      <c r="G128" s="217">
        <v>16540</v>
      </c>
      <c r="H128" s="221">
        <v>43158</v>
      </c>
      <c r="I128" s="324">
        <v>40677.97</v>
      </c>
      <c r="J128" s="200">
        <f t="shared" si="31"/>
        <v>48000.0046</v>
      </c>
      <c r="K128" s="216">
        <v>20</v>
      </c>
      <c r="L128" s="222">
        <v>43147</v>
      </c>
      <c r="M128" s="324">
        <f t="shared" si="30"/>
        <v>40677.97</v>
      </c>
      <c r="N128" s="324">
        <f t="shared" si="30"/>
        <v>48000.0046</v>
      </c>
      <c r="O128" s="321"/>
      <c r="P128" s="316">
        <f t="shared" si="28"/>
        <v>40677.97</v>
      </c>
      <c r="Q128" s="316">
        <f t="shared" si="28"/>
        <v>48000.0046</v>
      </c>
      <c r="R128" s="137"/>
    </row>
    <row r="129" spans="1:19" ht="47.25" x14ac:dyDescent="0.25">
      <c r="A129" s="304"/>
      <c r="B129" s="319" t="s">
        <v>2418</v>
      </c>
      <c r="C129" s="329" t="s">
        <v>2280</v>
      </c>
      <c r="D129" s="320" t="s">
        <v>2571</v>
      </c>
      <c r="E129" s="220"/>
      <c r="F129" s="223">
        <v>39100</v>
      </c>
      <c r="G129" s="217">
        <v>35228</v>
      </c>
      <c r="H129" s="221" t="s">
        <v>2282</v>
      </c>
      <c r="I129" s="324">
        <v>33135.589999999997</v>
      </c>
      <c r="J129" s="200">
        <f t="shared" si="31"/>
        <v>39099.996199999994</v>
      </c>
      <c r="K129" s="216">
        <v>1</v>
      </c>
      <c r="L129" s="222">
        <v>43206</v>
      </c>
      <c r="M129" s="324">
        <f t="shared" si="30"/>
        <v>33135.589999999997</v>
      </c>
      <c r="N129" s="324">
        <f t="shared" si="30"/>
        <v>39099.996199999994</v>
      </c>
      <c r="O129" s="321"/>
      <c r="P129" s="316">
        <f t="shared" si="28"/>
        <v>33135.589999999997</v>
      </c>
      <c r="Q129" s="316">
        <f t="shared" si="28"/>
        <v>39099.996199999994</v>
      </c>
      <c r="R129" s="137"/>
    </row>
    <row r="130" spans="1:19" ht="31.5" x14ac:dyDescent="0.25">
      <c r="A130" s="304"/>
      <c r="B130" s="319" t="s">
        <v>2411</v>
      </c>
      <c r="C130" s="320">
        <v>96</v>
      </c>
      <c r="D130" s="320" t="s">
        <v>2560</v>
      </c>
      <c r="E130" s="220"/>
      <c r="F130" s="223">
        <v>187680</v>
      </c>
      <c r="G130" s="217">
        <v>37586</v>
      </c>
      <c r="H130" s="221">
        <v>43270</v>
      </c>
      <c r="I130" s="324">
        <v>187680</v>
      </c>
      <c r="J130" s="200">
        <f>I130</f>
        <v>187680</v>
      </c>
      <c r="K130" s="216">
        <v>1</v>
      </c>
      <c r="L130" s="222">
        <v>43234</v>
      </c>
      <c r="M130" s="324">
        <f t="shared" si="30"/>
        <v>187680</v>
      </c>
      <c r="N130" s="324">
        <f t="shared" si="30"/>
        <v>187680</v>
      </c>
      <c r="O130" s="321"/>
      <c r="P130" s="316">
        <f t="shared" si="28"/>
        <v>187680</v>
      </c>
      <c r="Q130" s="316">
        <f t="shared" si="28"/>
        <v>187680</v>
      </c>
      <c r="R130" s="137"/>
    </row>
    <row r="131" spans="1:19" ht="31.5" x14ac:dyDescent="0.25">
      <c r="A131" s="304"/>
      <c r="B131" s="319" t="s">
        <v>2422</v>
      </c>
      <c r="C131" s="329" t="s">
        <v>2284</v>
      </c>
      <c r="D131" s="226">
        <v>42586</v>
      </c>
      <c r="E131" s="220"/>
      <c r="F131" s="223">
        <v>2350569</v>
      </c>
      <c r="G131" s="217">
        <v>16367</v>
      </c>
      <c r="H131" s="221">
        <v>42661</v>
      </c>
      <c r="I131" s="324">
        <v>864406.78</v>
      </c>
      <c r="J131" s="200">
        <f>I131*1.18</f>
        <v>1020000.0004</v>
      </c>
      <c r="K131" s="216">
        <v>232</v>
      </c>
      <c r="L131" s="222">
        <v>43327</v>
      </c>
      <c r="M131" s="324">
        <f t="shared" si="30"/>
        <v>864406.78</v>
      </c>
      <c r="N131" s="324">
        <f t="shared" si="30"/>
        <v>1020000.0004</v>
      </c>
      <c r="O131" s="321"/>
      <c r="P131" s="316">
        <f t="shared" si="28"/>
        <v>864406.78</v>
      </c>
      <c r="Q131" s="316">
        <f t="shared" si="28"/>
        <v>1020000.0004</v>
      </c>
      <c r="R131" s="137"/>
    </row>
    <row r="132" spans="1:19" s="7" customFormat="1" ht="15.75" customHeight="1" x14ac:dyDescent="0.25">
      <c r="A132" s="447"/>
      <c r="B132" s="466" t="s">
        <v>2423</v>
      </c>
      <c r="C132" s="488" t="s">
        <v>2286</v>
      </c>
      <c r="D132" s="488" t="s">
        <v>634</v>
      </c>
      <c r="E132" s="488"/>
      <c r="F132" s="472">
        <v>9600000</v>
      </c>
      <c r="G132" s="217">
        <v>15710</v>
      </c>
      <c r="H132" s="221">
        <v>42643</v>
      </c>
      <c r="I132" s="324">
        <f>2000000/1.18</f>
        <v>1694915.2542372881</v>
      </c>
      <c r="J132" s="200">
        <f>I132*1.18</f>
        <v>2000000</v>
      </c>
      <c r="K132" s="468">
        <v>234</v>
      </c>
      <c r="L132" s="470">
        <v>43692</v>
      </c>
      <c r="M132" s="478">
        <v>2944915.26</v>
      </c>
      <c r="N132" s="478">
        <f>M132*1.18-0.01</f>
        <v>3474999.9967999998</v>
      </c>
      <c r="O132" s="501"/>
      <c r="P132" s="474">
        <f>M132</f>
        <v>2944915.26</v>
      </c>
      <c r="Q132" s="474">
        <f>N132</f>
        <v>3474999.9967999998</v>
      </c>
      <c r="R132" s="139"/>
    </row>
    <row r="133" spans="1:19" s="7" customFormat="1" ht="15.75" customHeight="1" x14ac:dyDescent="0.25">
      <c r="A133" s="448"/>
      <c r="B133" s="467"/>
      <c r="C133" s="493"/>
      <c r="D133" s="489"/>
      <c r="E133" s="493"/>
      <c r="F133" s="485"/>
      <c r="G133" s="217">
        <v>305</v>
      </c>
      <c r="H133" s="221" t="s">
        <v>2287</v>
      </c>
      <c r="I133" s="324">
        <f>1500000/1.18</f>
        <v>1271186.4406779662</v>
      </c>
      <c r="J133" s="200">
        <f>I133*1.18</f>
        <v>1500000</v>
      </c>
      <c r="K133" s="469"/>
      <c r="L133" s="471"/>
      <c r="M133" s="480"/>
      <c r="N133" s="480"/>
      <c r="O133" s="503"/>
      <c r="P133" s="475"/>
      <c r="Q133" s="475"/>
      <c r="R133" s="139"/>
    </row>
    <row r="134" spans="1:19" ht="31.5" x14ac:dyDescent="0.25">
      <c r="A134" s="304"/>
      <c r="B134" s="319" t="s">
        <v>2424</v>
      </c>
      <c r="C134" s="329" t="s">
        <v>2578</v>
      </c>
      <c r="D134" s="320" t="s">
        <v>2579</v>
      </c>
      <c r="E134" s="220"/>
      <c r="F134" s="223"/>
      <c r="G134" s="217">
        <v>69150</v>
      </c>
      <c r="H134" s="221">
        <v>43445</v>
      </c>
      <c r="I134" s="324">
        <v>38169</v>
      </c>
      <c r="J134" s="200">
        <f>I134</f>
        <v>38169</v>
      </c>
      <c r="K134" s="216" t="s">
        <v>2451</v>
      </c>
      <c r="L134" s="222">
        <v>43434</v>
      </c>
      <c r="M134" s="324">
        <f t="shared" si="30"/>
        <v>38169</v>
      </c>
      <c r="N134" s="324">
        <f t="shared" si="30"/>
        <v>38169</v>
      </c>
      <c r="O134" s="321"/>
      <c r="P134" s="316">
        <f t="shared" si="28"/>
        <v>38169</v>
      </c>
      <c r="Q134" s="316">
        <f t="shared" si="28"/>
        <v>38169</v>
      </c>
      <c r="R134" s="137"/>
    </row>
    <row r="135" spans="1:19" ht="15.75" customHeight="1" x14ac:dyDescent="0.25">
      <c r="A135" s="447"/>
      <c r="B135" s="466" t="s">
        <v>2425</v>
      </c>
      <c r="C135" s="504" t="s">
        <v>2288</v>
      </c>
      <c r="D135" s="470">
        <v>43272</v>
      </c>
      <c r="E135" s="488"/>
      <c r="F135" s="488"/>
      <c r="G135" s="217">
        <v>63836</v>
      </c>
      <c r="H135" s="221">
        <v>43342</v>
      </c>
      <c r="I135" s="200">
        <f>244369.5/1.18</f>
        <v>207092.79661016949</v>
      </c>
      <c r="J135" s="200">
        <f>I135*1.18</f>
        <v>244369.5</v>
      </c>
      <c r="K135" s="468">
        <v>478</v>
      </c>
      <c r="L135" s="470">
        <v>43462</v>
      </c>
      <c r="M135" s="478">
        <f>482100/1.18</f>
        <v>408559.32203389832</v>
      </c>
      <c r="N135" s="478">
        <f>M135*1.18</f>
        <v>482100</v>
      </c>
      <c r="O135" s="501"/>
      <c r="P135" s="474">
        <f>M135</f>
        <v>408559.32203389832</v>
      </c>
      <c r="Q135" s="474">
        <f>N135</f>
        <v>482100</v>
      </c>
      <c r="R135" s="137"/>
    </row>
    <row r="136" spans="1:19" ht="15.75" customHeight="1" x14ac:dyDescent="0.25">
      <c r="A136" s="448"/>
      <c r="B136" s="484"/>
      <c r="C136" s="506"/>
      <c r="D136" s="477"/>
      <c r="E136" s="493"/>
      <c r="F136" s="493"/>
      <c r="G136" s="217">
        <v>65003</v>
      </c>
      <c r="H136" s="221">
        <v>43364</v>
      </c>
      <c r="I136" s="200">
        <f>244369.5/1.18</f>
        <v>207092.79661016949</v>
      </c>
      <c r="J136" s="200">
        <f t="shared" ref="J136:J139" si="32">I136*1.18</f>
        <v>244369.5</v>
      </c>
      <c r="K136" s="469"/>
      <c r="L136" s="471"/>
      <c r="M136" s="480"/>
      <c r="N136" s="480"/>
      <c r="O136" s="503"/>
      <c r="P136" s="475"/>
      <c r="Q136" s="475"/>
      <c r="R136" s="137"/>
    </row>
    <row r="137" spans="1:19" ht="15.75" customHeight="1" x14ac:dyDescent="0.25">
      <c r="A137" s="448"/>
      <c r="B137" s="484"/>
      <c r="C137" s="506"/>
      <c r="D137" s="477"/>
      <c r="E137" s="493"/>
      <c r="F137" s="493"/>
      <c r="G137" s="217">
        <v>67339</v>
      </c>
      <c r="H137" s="221">
        <v>43411</v>
      </c>
      <c r="I137" s="200">
        <f>183277/1.18</f>
        <v>155319.49152542374</v>
      </c>
      <c r="J137" s="200">
        <f t="shared" si="32"/>
        <v>183277</v>
      </c>
      <c r="K137" s="468" t="s">
        <v>2454</v>
      </c>
      <c r="L137" s="470">
        <v>43462</v>
      </c>
      <c r="M137" s="478">
        <f>556470/1.18</f>
        <v>471584.74576271191</v>
      </c>
      <c r="N137" s="478">
        <f>M137*1.18</f>
        <v>556470</v>
      </c>
      <c r="O137" s="501"/>
      <c r="P137" s="474">
        <f>M137</f>
        <v>471584.74576271191</v>
      </c>
      <c r="Q137" s="474">
        <f>N137</f>
        <v>556470</v>
      </c>
      <c r="R137" s="137"/>
    </row>
    <row r="138" spans="1:19" ht="15.75" customHeight="1" x14ac:dyDescent="0.25">
      <c r="A138" s="448"/>
      <c r="B138" s="484"/>
      <c r="C138" s="506"/>
      <c r="D138" s="477"/>
      <c r="E138" s="493"/>
      <c r="F138" s="493"/>
      <c r="G138" s="217">
        <v>67338</v>
      </c>
      <c r="H138" s="221">
        <v>43411</v>
      </c>
      <c r="I138" s="200">
        <f>244369.5/1.18</f>
        <v>207092.79661016949</v>
      </c>
      <c r="J138" s="200">
        <f t="shared" si="32"/>
        <v>244369.5</v>
      </c>
      <c r="K138" s="476"/>
      <c r="L138" s="477"/>
      <c r="M138" s="479"/>
      <c r="N138" s="479"/>
      <c r="O138" s="502"/>
      <c r="P138" s="496"/>
      <c r="Q138" s="496"/>
      <c r="R138" s="137"/>
    </row>
    <row r="139" spans="1:19" ht="15.75" customHeight="1" x14ac:dyDescent="0.25">
      <c r="A139" s="449"/>
      <c r="B139" s="467"/>
      <c r="C139" s="505"/>
      <c r="D139" s="471"/>
      <c r="E139" s="489"/>
      <c r="F139" s="489"/>
      <c r="G139" s="217">
        <v>69531</v>
      </c>
      <c r="H139" s="221">
        <v>43452</v>
      </c>
      <c r="I139" s="200">
        <f>122184.5/1.18</f>
        <v>103546.18644067798</v>
      </c>
      <c r="J139" s="200">
        <f t="shared" si="32"/>
        <v>122184.50000000001</v>
      </c>
      <c r="K139" s="469"/>
      <c r="L139" s="471"/>
      <c r="M139" s="480"/>
      <c r="N139" s="480"/>
      <c r="O139" s="503"/>
      <c r="P139" s="475"/>
      <c r="Q139" s="475"/>
      <c r="R139" s="137"/>
    </row>
    <row r="140" spans="1:19" ht="31.5" x14ac:dyDescent="0.25">
      <c r="A140" s="304"/>
      <c r="B140" s="319" t="s">
        <v>2711</v>
      </c>
      <c r="C140" s="329"/>
      <c r="D140" s="320"/>
      <c r="E140" s="220"/>
      <c r="F140" s="223"/>
      <c r="G140" s="217"/>
      <c r="H140" s="221"/>
      <c r="I140" s="324">
        <f>M140</f>
        <v>2519205.7906779665</v>
      </c>
      <c r="J140" s="200">
        <f>I140</f>
        <v>2519205.7906779665</v>
      </c>
      <c r="K140" s="216"/>
      <c r="L140" s="222"/>
      <c r="M140" s="324">
        <v>2519205.7906779665</v>
      </c>
      <c r="N140" s="324">
        <f t="shared" ref="N140" si="33">J140</f>
        <v>2519205.7906779665</v>
      </c>
      <c r="O140" s="321"/>
      <c r="P140" s="316">
        <f t="shared" si="28"/>
        <v>2519205.7906779665</v>
      </c>
      <c r="Q140" s="316">
        <f t="shared" si="28"/>
        <v>2519205.7906779665</v>
      </c>
      <c r="R140" s="137"/>
    </row>
    <row r="141" spans="1:19" s="7" customFormat="1" ht="15.75" customHeight="1" x14ac:dyDescent="0.25">
      <c r="A141" s="447"/>
      <c r="B141" s="466" t="s">
        <v>2426</v>
      </c>
      <c r="C141" s="468" t="s">
        <v>2603</v>
      </c>
      <c r="D141" s="488" t="s">
        <v>2602</v>
      </c>
      <c r="E141" s="488"/>
      <c r="F141" s="472"/>
      <c r="G141" s="217">
        <v>61662</v>
      </c>
      <c r="H141" s="221">
        <v>43957</v>
      </c>
      <c r="I141" s="200">
        <v>1667102.47</v>
      </c>
      <c r="J141" s="316">
        <f>I141</f>
        <v>1667102.47</v>
      </c>
      <c r="K141" s="507" t="s">
        <v>2530</v>
      </c>
      <c r="L141" s="470">
        <v>43958</v>
      </c>
      <c r="M141" s="474">
        <f>2695972.86</f>
        <v>2695972.86</v>
      </c>
      <c r="N141" s="474">
        <f>M141</f>
        <v>2695972.86</v>
      </c>
      <c r="O141" s="501"/>
      <c r="P141" s="474">
        <f>M141</f>
        <v>2695972.86</v>
      </c>
      <c r="Q141" s="474">
        <f>N141</f>
        <v>2695972.86</v>
      </c>
      <c r="R141" s="139">
        <f>SUM(M141:M150)</f>
        <v>5590335.5800000001</v>
      </c>
      <c r="S141" s="138">
        <v>5590335.5800000001</v>
      </c>
    </row>
    <row r="142" spans="1:19" s="7" customFormat="1" ht="15.75" customHeight="1" x14ac:dyDescent="0.25">
      <c r="A142" s="449"/>
      <c r="B142" s="467"/>
      <c r="C142" s="469"/>
      <c r="D142" s="489"/>
      <c r="E142" s="489"/>
      <c r="F142" s="473"/>
      <c r="G142" s="217">
        <v>58764</v>
      </c>
      <c r="H142" s="221">
        <v>43895</v>
      </c>
      <c r="I142" s="200">
        <v>1035799.19</v>
      </c>
      <c r="J142" s="316">
        <f>I142</f>
        <v>1035799.19</v>
      </c>
      <c r="K142" s="508"/>
      <c r="L142" s="471"/>
      <c r="M142" s="475"/>
      <c r="N142" s="475"/>
      <c r="O142" s="503"/>
      <c r="P142" s="475"/>
      <c r="Q142" s="475"/>
      <c r="R142" s="139"/>
      <c r="S142" s="166"/>
    </row>
    <row r="143" spans="1:19" s="7" customFormat="1" ht="31.5" x14ac:dyDescent="0.25">
      <c r="A143" s="304"/>
      <c r="B143" s="319" t="s">
        <v>2246</v>
      </c>
      <c r="C143" s="216" t="s">
        <v>2220</v>
      </c>
      <c r="D143" s="216" t="s">
        <v>2252</v>
      </c>
      <c r="E143" s="220"/>
      <c r="F143" s="223"/>
      <c r="G143" s="217">
        <v>61728</v>
      </c>
      <c r="H143" s="221">
        <v>43958</v>
      </c>
      <c r="I143" s="200">
        <f>167000/1.2</f>
        <v>139166.66666666669</v>
      </c>
      <c r="J143" s="200">
        <f>I143*1.2</f>
        <v>167000.00000000003</v>
      </c>
      <c r="K143" s="216">
        <v>172</v>
      </c>
      <c r="L143" s="222">
        <v>43970</v>
      </c>
      <c r="M143" s="200">
        <v>6666.67</v>
      </c>
      <c r="N143" s="200">
        <f>M143*1.2</f>
        <v>8000.0039999999999</v>
      </c>
      <c r="O143" s="275"/>
      <c r="P143" s="200">
        <f t="shared" ref="P143:Q154" si="34">M143</f>
        <v>6666.67</v>
      </c>
      <c r="Q143" s="200">
        <f t="shared" si="34"/>
        <v>8000.0039999999999</v>
      </c>
      <c r="S143" s="166"/>
    </row>
    <row r="144" spans="1:19" s="7" customFormat="1" ht="47.25" x14ac:dyDescent="0.25">
      <c r="A144" s="304"/>
      <c r="B144" s="319" t="s">
        <v>2247</v>
      </c>
      <c r="C144" s="216" t="s">
        <v>2250</v>
      </c>
      <c r="D144" s="216" t="s">
        <v>2251</v>
      </c>
      <c r="E144" s="220"/>
      <c r="F144" s="223"/>
      <c r="G144" s="217">
        <v>62529</v>
      </c>
      <c r="H144" s="221">
        <v>43973</v>
      </c>
      <c r="I144" s="200">
        <v>21765</v>
      </c>
      <c r="J144" s="200">
        <f>I144*1.2</f>
        <v>26118</v>
      </c>
      <c r="K144" s="216">
        <v>2002921</v>
      </c>
      <c r="L144" s="222">
        <v>43970</v>
      </c>
      <c r="M144" s="200">
        <f t="shared" ref="M144:M150" si="35">I144</f>
        <v>21765</v>
      </c>
      <c r="N144" s="200">
        <f>M144*1.2</f>
        <v>26118</v>
      </c>
      <c r="O144" s="275"/>
      <c r="P144" s="200">
        <f t="shared" si="34"/>
        <v>21765</v>
      </c>
      <c r="Q144" s="200">
        <f t="shared" si="34"/>
        <v>26118</v>
      </c>
      <c r="S144" s="166"/>
    </row>
    <row r="145" spans="1:20" s="7" customFormat="1" ht="47.25" x14ac:dyDescent="0.25">
      <c r="A145" s="304"/>
      <c r="B145" s="319" t="s">
        <v>2248</v>
      </c>
      <c r="C145" s="315"/>
      <c r="D145" s="320"/>
      <c r="E145" s="220"/>
      <c r="F145" s="223"/>
      <c r="G145" s="217">
        <v>62282</v>
      </c>
      <c r="H145" s="221">
        <v>43969</v>
      </c>
      <c r="I145" s="200">
        <f>J145</f>
        <v>121570.99</v>
      </c>
      <c r="J145" s="200">
        <v>121570.99</v>
      </c>
      <c r="K145" s="227" t="s">
        <v>2531</v>
      </c>
      <c r="L145" s="222">
        <v>43970</v>
      </c>
      <c r="M145" s="200">
        <f t="shared" si="35"/>
        <v>121570.99</v>
      </c>
      <c r="N145" s="200">
        <f t="shared" ref="N145:N146" si="36">M145</f>
        <v>121570.99</v>
      </c>
      <c r="O145" s="275"/>
      <c r="P145" s="200">
        <f t="shared" si="34"/>
        <v>121570.99</v>
      </c>
      <c r="Q145" s="200">
        <f t="shared" si="34"/>
        <v>121570.99</v>
      </c>
      <c r="S145" s="166"/>
    </row>
    <row r="146" spans="1:20" s="7" customFormat="1" ht="31.5" x14ac:dyDescent="0.25">
      <c r="A146" s="304"/>
      <c r="B146" s="319" t="s">
        <v>2249</v>
      </c>
      <c r="C146" s="315"/>
      <c r="D146" s="320"/>
      <c r="E146" s="220"/>
      <c r="F146" s="223"/>
      <c r="G146" s="217"/>
      <c r="H146" s="217"/>
      <c r="I146" s="200">
        <v>5625</v>
      </c>
      <c r="J146" s="200">
        <f>I146*1.2</f>
        <v>6750</v>
      </c>
      <c r="K146" s="216">
        <v>110</v>
      </c>
      <c r="L146" s="222" t="s">
        <v>2539</v>
      </c>
      <c r="M146" s="200">
        <f t="shared" si="35"/>
        <v>5625</v>
      </c>
      <c r="N146" s="200">
        <f t="shared" si="36"/>
        <v>5625</v>
      </c>
      <c r="O146" s="275"/>
      <c r="P146" s="200">
        <f t="shared" si="34"/>
        <v>5625</v>
      </c>
      <c r="Q146" s="200">
        <f t="shared" si="34"/>
        <v>5625</v>
      </c>
      <c r="S146" s="166"/>
    </row>
    <row r="147" spans="1:20" s="7" customFormat="1" ht="45" customHeight="1" x14ac:dyDescent="0.25">
      <c r="A147" s="447"/>
      <c r="B147" s="466" t="s">
        <v>2427</v>
      </c>
      <c r="C147" s="468" t="s">
        <v>2596</v>
      </c>
      <c r="D147" s="468" t="s">
        <v>2253</v>
      </c>
      <c r="E147" s="488"/>
      <c r="F147" s="472"/>
      <c r="G147" s="217">
        <v>61255</v>
      </c>
      <c r="H147" s="221" t="s">
        <v>2294</v>
      </c>
      <c r="I147" s="200">
        <f>483005.23/1.2</f>
        <v>402504.35833333334</v>
      </c>
      <c r="J147" s="200">
        <f>I147*1.2</f>
        <v>483005.23</v>
      </c>
      <c r="K147" s="468">
        <v>905867</v>
      </c>
      <c r="L147" s="470">
        <v>43951</v>
      </c>
      <c r="M147" s="474">
        <v>2652500.02</v>
      </c>
      <c r="N147" s="474">
        <f>M147*1.2</f>
        <v>3183000.0239999997</v>
      </c>
      <c r="O147" s="501"/>
      <c r="P147" s="474">
        <f>M147</f>
        <v>2652500.02</v>
      </c>
      <c r="Q147" s="474">
        <f>N147</f>
        <v>3183000.0239999997</v>
      </c>
      <c r="R147" s="197"/>
      <c r="S147" s="166"/>
    </row>
    <row r="148" spans="1:20" s="7" customFormat="1" ht="30" x14ac:dyDescent="0.25">
      <c r="A148" s="448"/>
      <c r="B148" s="484"/>
      <c r="C148" s="476"/>
      <c r="D148" s="476"/>
      <c r="E148" s="493"/>
      <c r="F148" s="485"/>
      <c r="G148" s="217">
        <v>64507</v>
      </c>
      <c r="H148" s="221" t="s">
        <v>2295</v>
      </c>
      <c r="I148" s="200">
        <f>663466.63/1.2</f>
        <v>552888.8583333334</v>
      </c>
      <c r="J148" s="200">
        <f t="shared" ref="J148:J149" si="37">I148*1.2</f>
        <v>663466.63</v>
      </c>
      <c r="K148" s="476"/>
      <c r="L148" s="477"/>
      <c r="M148" s="496"/>
      <c r="N148" s="496"/>
      <c r="O148" s="502"/>
      <c r="P148" s="496"/>
      <c r="Q148" s="496"/>
      <c r="S148" s="166"/>
    </row>
    <row r="149" spans="1:20" s="7" customFormat="1" ht="30" x14ac:dyDescent="0.25">
      <c r="A149" s="449"/>
      <c r="B149" s="467"/>
      <c r="C149" s="469"/>
      <c r="D149" s="469"/>
      <c r="E149" s="489"/>
      <c r="F149" s="473"/>
      <c r="G149" s="217">
        <v>66587</v>
      </c>
      <c r="H149" s="221" t="s">
        <v>2296</v>
      </c>
      <c r="I149" s="200">
        <f>(2036528.16+170012)/1.2</f>
        <v>1838783.4666666668</v>
      </c>
      <c r="J149" s="200">
        <f t="shared" si="37"/>
        <v>2206540.16</v>
      </c>
      <c r="K149" s="469"/>
      <c r="L149" s="471"/>
      <c r="M149" s="475"/>
      <c r="N149" s="475"/>
      <c r="O149" s="503"/>
      <c r="P149" s="475"/>
      <c r="Q149" s="475"/>
      <c r="S149" s="166"/>
    </row>
    <row r="150" spans="1:20" s="7" customFormat="1" ht="47.25" x14ac:dyDescent="0.25">
      <c r="A150" s="304"/>
      <c r="B150" s="319" t="s">
        <v>2712</v>
      </c>
      <c r="C150" s="315"/>
      <c r="D150" s="320"/>
      <c r="E150" s="220"/>
      <c r="F150" s="223"/>
      <c r="G150" s="217"/>
      <c r="H150" s="217"/>
      <c r="I150" s="200">
        <v>86235.04</v>
      </c>
      <c r="J150" s="200">
        <f>I150</f>
        <v>86235.04</v>
      </c>
      <c r="K150" s="227"/>
      <c r="L150" s="222"/>
      <c r="M150" s="200">
        <f t="shared" si="35"/>
        <v>86235.04</v>
      </c>
      <c r="N150" s="200">
        <f>J150</f>
        <v>86235.04</v>
      </c>
      <c r="O150" s="275"/>
      <c r="P150" s="200">
        <f t="shared" si="34"/>
        <v>86235.04</v>
      </c>
      <c r="Q150" s="200">
        <f t="shared" si="34"/>
        <v>86235.04</v>
      </c>
      <c r="S150" s="167"/>
    </row>
    <row r="151" spans="1:20" s="7" customFormat="1" x14ac:dyDescent="0.25">
      <c r="A151" s="304"/>
      <c r="B151" s="219" t="s">
        <v>2254</v>
      </c>
      <c r="C151" s="468" t="s">
        <v>2256</v>
      </c>
      <c r="D151" s="468" t="s">
        <v>2255</v>
      </c>
      <c r="E151" s="488"/>
      <c r="F151" s="488"/>
      <c r="G151" s="217">
        <v>43666</v>
      </c>
      <c r="H151" s="221">
        <v>43630</v>
      </c>
      <c r="I151" s="200">
        <v>3619358.4</v>
      </c>
      <c r="J151" s="200">
        <f t="shared" ref="J151:J168" si="38">I151</f>
        <v>3619358.4</v>
      </c>
      <c r="K151" s="468" t="s">
        <v>2462</v>
      </c>
      <c r="L151" s="470">
        <v>43951</v>
      </c>
      <c r="M151" s="200">
        <f>2218323+462954.37</f>
        <v>2681277.37</v>
      </c>
      <c r="N151" s="200">
        <f>M151</f>
        <v>2681277.37</v>
      </c>
      <c r="O151" s="275"/>
      <c r="P151" s="316">
        <f>M151</f>
        <v>2681277.37</v>
      </c>
      <c r="Q151" s="316">
        <f t="shared" si="34"/>
        <v>2681277.37</v>
      </c>
      <c r="R151" s="139">
        <f>SUM(M151:M171)</f>
        <v>50697252.670000009</v>
      </c>
      <c r="S151" s="139">
        <v>50697253.109999999</v>
      </c>
      <c r="T151" s="139">
        <f>S151-R151</f>
        <v>0.43999999016523361</v>
      </c>
    </row>
    <row r="152" spans="1:20" s="7" customFormat="1" ht="15.75" customHeight="1" x14ac:dyDescent="0.25">
      <c r="A152" s="447"/>
      <c r="B152" s="466" t="s">
        <v>2258</v>
      </c>
      <c r="C152" s="476"/>
      <c r="D152" s="476"/>
      <c r="E152" s="493"/>
      <c r="F152" s="493"/>
      <c r="G152" s="217">
        <v>43836</v>
      </c>
      <c r="H152" s="221">
        <v>43634</v>
      </c>
      <c r="I152" s="200">
        <v>2830022.8</v>
      </c>
      <c r="J152" s="200">
        <f t="shared" si="38"/>
        <v>2830022.8</v>
      </c>
      <c r="K152" s="476"/>
      <c r="L152" s="477"/>
      <c r="M152" s="200">
        <v>3086362.43</v>
      </c>
      <c r="N152" s="200">
        <f>M152</f>
        <v>3086362.43</v>
      </c>
      <c r="O152" s="275"/>
      <c r="P152" s="316">
        <f t="shared" ref="P152:P154" si="39">M152</f>
        <v>3086362.43</v>
      </c>
      <c r="Q152" s="316">
        <f t="shared" si="34"/>
        <v>3086362.43</v>
      </c>
      <c r="R152" s="139"/>
      <c r="S152" s="166"/>
    </row>
    <row r="153" spans="1:20" s="7" customFormat="1" ht="15.75" customHeight="1" x14ac:dyDescent="0.25">
      <c r="A153" s="449"/>
      <c r="B153" s="467"/>
      <c r="C153" s="476"/>
      <c r="D153" s="476"/>
      <c r="E153" s="493"/>
      <c r="F153" s="493"/>
      <c r="G153" s="217">
        <v>47432</v>
      </c>
      <c r="H153" s="221">
        <v>43699</v>
      </c>
      <c r="I153" s="200">
        <v>2981835</v>
      </c>
      <c r="J153" s="200">
        <f t="shared" si="38"/>
        <v>2981835</v>
      </c>
      <c r="K153" s="469"/>
      <c r="L153" s="471"/>
      <c r="M153" s="200">
        <v>14788820</v>
      </c>
      <c r="N153" s="200">
        <f>M153</f>
        <v>14788820</v>
      </c>
      <c r="O153" s="275"/>
      <c r="P153" s="316">
        <f t="shared" si="39"/>
        <v>14788820</v>
      </c>
      <c r="Q153" s="316">
        <f t="shared" si="34"/>
        <v>14788820</v>
      </c>
      <c r="R153" s="139"/>
      <c r="S153" s="166"/>
    </row>
    <row r="154" spans="1:20" s="7" customFormat="1" x14ac:dyDescent="0.25">
      <c r="A154" s="304"/>
      <c r="B154" s="466" t="s">
        <v>2623</v>
      </c>
      <c r="C154" s="476"/>
      <c r="D154" s="476"/>
      <c r="E154" s="493"/>
      <c r="F154" s="493"/>
      <c r="G154" s="217">
        <v>48488</v>
      </c>
      <c r="H154" s="221">
        <v>43720</v>
      </c>
      <c r="I154" s="200">
        <v>4776543.3</v>
      </c>
      <c r="J154" s="200">
        <f t="shared" si="38"/>
        <v>4776543.3</v>
      </c>
      <c r="K154" s="468" t="s">
        <v>2513</v>
      </c>
      <c r="L154" s="470">
        <v>43826</v>
      </c>
      <c r="M154" s="474">
        <v>24245938.760000002</v>
      </c>
      <c r="N154" s="474">
        <f t="shared" ref="N154" si="40">M154</f>
        <v>24245938.760000002</v>
      </c>
      <c r="O154" s="501"/>
      <c r="P154" s="474">
        <f t="shared" si="39"/>
        <v>24245938.760000002</v>
      </c>
      <c r="Q154" s="474">
        <f t="shared" si="34"/>
        <v>24245938.760000002</v>
      </c>
      <c r="R154" s="139"/>
      <c r="S154" s="166"/>
    </row>
    <row r="155" spans="1:20" s="7" customFormat="1" x14ac:dyDescent="0.25">
      <c r="A155" s="304"/>
      <c r="B155" s="467"/>
      <c r="C155" s="313"/>
      <c r="D155" s="313"/>
      <c r="E155" s="311"/>
      <c r="F155" s="311"/>
      <c r="G155" s="217">
        <v>285755</v>
      </c>
      <c r="H155" s="221">
        <v>43826</v>
      </c>
      <c r="I155" s="200">
        <v>11782169.699999999</v>
      </c>
      <c r="J155" s="200">
        <f t="shared" si="38"/>
        <v>11782169.699999999</v>
      </c>
      <c r="K155" s="469"/>
      <c r="L155" s="471"/>
      <c r="M155" s="475"/>
      <c r="N155" s="475"/>
      <c r="O155" s="503"/>
      <c r="P155" s="475"/>
      <c r="Q155" s="475"/>
      <c r="R155" s="139"/>
      <c r="S155" s="166"/>
    </row>
    <row r="156" spans="1:20" s="7" customFormat="1" ht="31.5" customHeight="1" x14ac:dyDescent="0.25">
      <c r="A156" s="447"/>
      <c r="B156" s="466" t="s">
        <v>2548</v>
      </c>
      <c r="C156" s="468" t="s">
        <v>2604</v>
      </c>
      <c r="D156" s="470">
        <v>43936</v>
      </c>
      <c r="E156" s="488"/>
      <c r="F156" s="488"/>
      <c r="G156" s="217">
        <v>60707</v>
      </c>
      <c r="H156" s="221">
        <v>43931</v>
      </c>
      <c r="I156" s="200">
        <f>5000/1.2</f>
        <v>4166.666666666667</v>
      </c>
      <c r="J156" s="200">
        <f>I156*1.2</f>
        <v>5000</v>
      </c>
      <c r="K156" s="488" t="s">
        <v>2547</v>
      </c>
      <c r="L156" s="470">
        <v>43948</v>
      </c>
      <c r="M156" s="474">
        <f>169021.74+1126811.6</f>
        <v>1295833.3400000001</v>
      </c>
      <c r="N156" s="474">
        <f>M156*1.2-0.01</f>
        <v>1554999.9980000001</v>
      </c>
      <c r="O156" s="501"/>
      <c r="P156" s="474">
        <f t="shared" ref="P156:Q156" si="41">M156</f>
        <v>1295833.3400000001</v>
      </c>
      <c r="Q156" s="474">
        <f t="shared" si="41"/>
        <v>1554999.9980000001</v>
      </c>
      <c r="R156" s="139"/>
      <c r="S156" s="166"/>
    </row>
    <row r="157" spans="1:20" s="7" customFormat="1" ht="15.75" customHeight="1" x14ac:dyDescent="0.25">
      <c r="A157" s="448"/>
      <c r="B157" s="484"/>
      <c r="C157" s="476"/>
      <c r="D157" s="476"/>
      <c r="E157" s="493"/>
      <c r="F157" s="493"/>
      <c r="G157" s="217">
        <v>61128</v>
      </c>
      <c r="H157" s="221">
        <v>43942</v>
      </c>
      <c r="I157" s="200">
        <f>550000/1.2</f>
        <v>458333.33333333337</v>
      </c>
      <c r="J157" s="200">
        <f t="shared" ref="J157:J160" si="42">I157*1.2</f>
        <v>550000</v>
      </c>
      <c r="K157" s="493"/>
      <c r="L157" s="477"/>
      <c r="M157" s="496"/>
      <c r="N157" s="496"/>
      <c r="O157" s="502"/>
      <c r="P157" s="496"/>
      <c r="Q157" s="496"/>
      <c r="R157" s="139"/>
      <c r="S157" s="166"/>
    </row>
    <row r="158" spans="1:20" s="7" customFormat="1" ht="15.75" customHeight="1" x14ac:dyDescent="0.25">
      <c r="A158" s="448"/>
      <c r="B158" s="484"/>
      <c r="C158" s="476"/>
      <c r="D158" s="476"/>
      <c r="E158" s="493"/>
      <c r="F158" s="493"/>
      <c r="G158" s="217">
        <v>61162</v>
      </c>
      <c r="H158" s="221">
        <v>43943</v>
      </c>
      <c r="I158" s="200">
        <f>300000/1.2</f>
        <v>250000</v>
      </c>
      <c r="J158" s="200">
        <f t="shared" si="42"/>
        <v>300000</v>
      </c>
      <c r="K158" s="493"/>
      <c r="L158" s="477"/>
      <c r="M158" s="496"/>
      <c r="N158" s="496"/>
      <c r="O158" s="502"/>
      <c r="P158" s="496"/>
      <c r="Q158" s="496"/>
      <c r="R158" s="139"/>
      <c r="S158" s="166"/>
    </row>
    <row r="159" spans="1:20" s="7" customFormat="1" ht="15.75" customHeight="1" x14ac:dyDescent="0.25">
      <c r="A159" s="448"/>
      <c r="B159" s="484"/>
      <c r="C159" s="476"/>
      <c r="D159" s="476"/>
      <c r="E159" s="493"/>
      <c r="F159" s="493"/>
      <c r="G159" s="217">
        <v>61201</v>
      </c>
      <c r="H159" s="221">
        <v>43944</v>
      </c>
      <c r="I159" s="200">
        <f>300000/1.2</f>
        <v>250000</v>
      </c>
      <c r="J159" s="200">
        <f t="shared" si="42"/>
        <v>300000</v>
      </c>
      <c r="K159" s="493"/>
      <c r="L159" s="477"/>
      <c r="M159" s="496"/>
      <c r="N159" s="496"/>
      <c r="O159" s="502"/>
      <c r="P159" s="496"/>
      <c r="Q159" s="496"/>
      <c r="R159" s="139"/>
      <c r="S159" s="166"/>
    </row>
    <row r="160" spans="1:20" s="7" customFormat="1" ht="15.75" customHeight="1" x14ac:dyDescent="0.25">
      <c r="A160" s="449"/>
      <c r="B160" s="467"/>
      <c r="C160" s="469"/>
      <c r="D160" s="469"/>
      <c r="E160" s="489"/>
      <c r="F160" s="489"/>
      <c r="G160" s="217">
        <v>61261</v>
      </c>
      <c r="H160" s="221">
        <v>43945</v>
      </c>
      <c r="I160" s="200">
        <f>400000/1.2</f>
        <v>333333.33333333337</v>
      </c>
      <c r="J160" s="200">
        <f t="shared" si="42"/>
        <v>400000.00000000006</v>
      </c>
      <c r="K160" s="489"/>
      <c r="L160" s="471"/>
      <c r="M160" s="475"/>
      <c r="N160" s="475"/>
      <c r="O160" s="503"/>
      <c r="P160" s="475"/>
      <c r="Q160" s="475"/>
      <c r="R160" s="139"/>
      <c r="S160" s="166"/>
    </row>
    <row r="161" spans="1:19" s="7" customFormat="1" ht="33" customHeight="1" x14ac:dyDescent="0.25">
      <c r="A161" s="447"/>
      <c r="B161" s="466" t="s">
        <v>2713</v>
      </c>
      <c r="C161" s="315" t="s">
        <v>2257</v>
      </c>
      <c r="D161" s="315"/>
      <c r="E161" s="220"/>
      <c r="F161" s="223"/>
      <c r="G161" s="217">
        <v>60807</v>
      </c>
      <c r="H161" s="221">
        <v>43934</v>
      </c>
      <c r="I161" s="200">
        <v>557561.34</v>
      </c>
      <c r="J161" s="200">
        <f t="shared" si="38"/>
        <v>557561.34</v>
      </c>
      <c r="K161" s="216" t="s">
        <v>2515</v>
      </c>
      <c r="L161" s="222">
        <v>43935</v>
      </c>
      <c r="M161" s="200">
        <v>557561.34</v>
      </c>
      <c r="N161" s="200">
        <f>M161</f>
        <v>557561.34</v>
      </c>
      <c r="O161" s="275"/>
      <c r="P161" s="316">
        <f t="shared" ref="P161:Q171" si="43">M161</f>
        <v>557561.34</v>
      </c>
      <c r="Q161" s="316">
        <f t="shared" si="43"/>
        <v>557561.34</v>
      </c>
      <c r="R161" s="139"/>
      <c r="S161" s="166"/>
    </row>
    <row r="162" spans="1:19" s="7" customFormat="1" ht="15.75" customHeight="1" x14ac:dyDescent="0.25">
      <c r="A162" s="449"/>
      <c r="B162" s="467"/>
      <c r="C162" s="315"/>
      <c r="D162" s="315"/>
      <c r="E162" s="220"/>
      <c r="F162" s="223"/>
      <c r="G162" s="217">
        <v>60806</v>
      </c>
      <c r="H162" s="221">
        <v>43934</v>
      </c>
      <c r="I162" s="200">
        <v>720000</v>
      </c>
      <c r="J162" s="200">
        <f t="shared" si="38"/>
        <v>720000</v>
      </c>
      <c r="K162" s="216" t="s">
        <v>2516</v>
      </c>
      <c r="L162" s="222">
        <v>43948</v>
      </c>
      <c r="M162" s="200">
        <v>720000</v>
      </c>
      <c r="N162" s="200">
        <f>M162</f>
        <v>720000</v>
      </c>
      <c r="O162" s="275"/>
      <c r="P162" s="316">
        <f t="shared" si="43"/>
        <v>720000</v>
      </c>
      <c r="Q162" s="316">
        <f t="shared" si="43"/>
        <v>720000</v>
      </c>
      <c r="R162" s="139"/>
      <c r="S162" s="166"/>
    </row>
    <row r="163" spans="1:19" s="7" customFormat="1" ht="15.75" customHeight="1" x14ac:dyDescent="0.25">
      <c r="A163" s="447"/>
      <c r="B163" s="466" t="s">
        <v>2714</v>
      </c>
      <c r="C163" s="315"/>
      <c r="D163" s="315"/>
      <c r="E163" s="220"/>
      <c r="F163" s="223"/>
      <c r="G163" s="217"/>
      <c r="H163" s="217"/>
      <c r="I163" s="200"/>
      <c r="J163" s="200">
        <f t="shared" si="38"/>
        <v>0</v>
      </c>
      <c r="K163" s="216" t="s">
        <v>2517</v>
      </c>
      <c r="L163" s="222">
        <v>43921</v>
      </c>
      <c r="M163" s="200">
        <v>141414</v>
      </c>
      <c r="N163" s="200">
        <f t="shared" ref="N163:N168" si="44">M163</f>
        <v>141414</v>
      </c>
      <c r="O163" s="275"/>
      <c r="P163" s="316">
        <f t="shared" si="43"/>
        <v>141414</v>
      </c>
      <c r="Q163" s="316">
        <f t="shared" si="43"/>
        <v>141414</v>
      </c>
      <c r="R163" s="139"/>
      <c r="S163" s="166"/>
    </row>
    <row r="164" spans="1:19" s="7" customFormat="1" ht="15" x14ac:dyDescent="0.25">
      <c r="A164" s="448"/>
      <c r="B164" s="484"/>
      <c r="C164" s="468"/>
      <c r="D164" s="468"/>
      <c r="E164" s="468"/>
      <c r="F164" s="468"/>
      <c r="G164" s="217"/>
      <c r="H164" s="217"/>
      <c r="I164" s="200"/>
      <c r="J164" s="200"/>
      <c r="K164" s="216" t="s">
        <v>2518</v>
      </c>
      <c r="L164" s="222">
        <v>43921</v>
      </c>
      <c r="M164" s="200">
        <v>156588.98000000001</v>
      </c>
      <c r="N164" s="200">
        <f t="shared" si="44"/>
        <v>156588.98000000001</v>
      </c>
      <c r="O164" s="275"/>
      <c r="P164" s="316">
        <f t="shared" si="43"/>
        <v>156588.98000000001</v>
      </c>
      <c r="Q164" s="316">
        <f t="shared" si="43"/>
        <v>156588.98000000001</v>
      </c>
      <c r="R164" s="139"/>
      <c r="S164" s="166"/>
    </row>
    <row r="165" spans="1:19" s="7" customFormat="1" ht="15" x14ac:dyDescent="0.25">
      <c r="A165" s="448"/>
      <c r="B165" s="484"/>
      <c r="C165" s="476"/>
      <c r="D165" s="476"/>
      <c r="E165" s="476"/>
      <c r="F165" s="476"/>
      <c r="G165" s="217"/>
      <c r="H165" s="217"/>
      <c r="I165" s="200"/>
      <c r="J165" s="200"/>
      <c r="K165" s="216" t="s">
        <v>2519</v>
      </c>
      <c r="L165" s="222">
        <v>43921</v>
      </c>
      <c r="M165" s="200">
        <v>141414</v>
      </c>
      <c r="N165" s="200">
        <f t="shared" si="44"/>
        <v>141414</v>
      </c>
      <c r="O165" s="275"/>
      <c r="P165" s="316">
        <f t="shared" si="43"/>
        <v>141414</v>
      </c>
      <c r="Q165" s="316">
        <f t="shared" si="43"/>
        <v>141414</v>
      </c>
      <c r="R165" s="139"/>
      <c r="S165" s="166"/>
    </row>
    <row r="166" spans="1:19" s="7" customFormat="1" ht="15" x14ac:dyDescent="0.25">
      <c r="A166" s="448"/>
      <c r="B166" s="484"/>
      <c r="C166" s="476"/>
      <c r="D166" s="476"/>
      <c r="E166" s="476"/>
      <c r="F166" s="476"/>
      <c r="G166" s="217"/>
      <c r="H166" s="217"/>
      <c r="I166" s="200"/>
      <c r="J166" s="200"/>
      <c r="K166" s="216" t="s">
        <v>2520</v>
      </c>
      <c r="L166" s="222">
        <v>43921</v>
      </c>
      <c r="M166" s="200">
        <v>141414</v>
      </c>
      <c r="N166" s="200">
        <f t="shared" si="44"/>
        <v>141414</v>
      </c>
      <c r="O166" s="275"/>
      <c r="P166" s="316">
        <f t="shared" si="43"/>
        <v>141414</v>
      </c>
      <c r="Q166" s="316">
        <f t="shared" si="43"/>
        <v>141414</v>
      </c>
      <c r="R166" s="139"/>
      <c r="S166" s="166"/>
    </row>
    <row r="167" spans="1:19" s="7" customFormat="1" ht="15" x14ac:dyDescent="0.25">
      <c r="A167" s="449"/>
      <c r="B167" s="467"/>
      <c r="C167" s="469"/>
      <c r="D167" s="469"/>
      <c r="E167" s="469"/>
      <c r="F167" s="469"/>
      <c r="G167" s="217"/>
      <c r="H167" s="217"/>
      <c r="I167" s="200"/>
      <c r="J167" s="200"/>
      <c r="K167" s="216" t="s">
        <v>2521</v>
      </c>
      <c r="L167" s="222">
        <v>43951</v>
      </c>
      <c r="M167" s="200">
        <v>27000</v>
      </c>
      <c r="N167" s="200">
        <f t="shared" si="44"/>
        <v>27000</v>
      </c>
      <c r="O167" s="275"/>
      <c r="P167" s="316">
        <f t="shared" si="43"/>
        <v>27000</v>
      </c>
      <c r="Q167" s="316">
        <f t="shared" si="43"/>
        <v>27000</v>
      </c>
      <c r="R167" s="139"/>
      <c r="S167" s="166"/>
    </row>
    <row r="168" spans="1:19" s="7" customFormat="1" x14ac:dyDescent="0.25">
      <c r="A168" s="304"/>
      <c r="B168" s="319" t="s">
        <v>2514</v>
      </c>
      <c r="C168" s="315"/>
      <c r="D168" s="315"/>
      <c r="E168" s="220"/>
      <c r="F168" s="223"/>
      <c r="G168" s="217"/>
      <c r="H168" s="217"/>
      <c r="I168" s="200"/>
      <c r="J168" s="200">
        <f t="shared" si="38"/>
        <v>0</v>
      </c>
      <c r="K168" s="216">
        <v>70</v>
      </c>
      <c r="L168" s="222">
        <v>43904</v>
      </c>
      <c r="M168" s="200">
        <f>162131.14-63207</f>
        <v>98924.140000000014</v>
      </c>
      <c r="N168" s="200">
        <f t="shared" si="44"/>
        <v>98924.140000000014</v>
      </c>
      <c r="O168" s="275"/>
      <c r="P168" s="316">
        <f t="shared" si="43"/>
        <v>98924.140000000014</v>
      </c>
      <c r="Q168" s="316">
        <f t="shared" si="43"/>
        <v>98924.140000000014</v>
      </c>
      <c r="R168" s="139"/>
      <c r="S168" s="166"/>
    </row>
    <row r="169" spans="1:19" s="7" customFormat="1" ht="31.5" x14ac:dyDescent="0.25">
      <c r="A169" s="304"/>
      <c r="B169" s="319" t="s">
        <v>2428</v>
      </c>
      <c r="C169" s="315">
        <v>2030</v>
      </c>
      <c r="D169" s="320" t="s">
        <v>2370</v>
      </c>
      <c r="E169" s="220"/>
      <c r="F169" s="223"/>
      <c r="G169" s="217">
        <v>61489</v>
      </c>
      <c r="H169" s="221">
        <v>43951</v>
      </c>
      <c r="I169" s="200">
        <v>540729.64</v>
      </c>
      <c r="J169" s="200">
        <f>I169*1.2</f>
        <v>648875.56799999997</v>
      </c>
      <c r="K169" s="216">
        <v>531</v>
      </c>
      <c r="L169" s="222">
        <v>43956</v>
      </c>
      <c r="M169" s="200">
        <f t="shared" ref="M169:N169" si="45">I169</f>
        <v>540729.64</v>
      </c>
      <c r="N169" s="200">
        <f t="shared" si="45"/>
        <v>648875.56799999997</v>
      </c>
      <c r="O169" s="275"/>
      <c r="P169" s="316">
        <f t="shared" si="43"/>
        <v>540729.64</v>
      </c>
      <c r="Q169" s="316">
        <f t="shared" si="43"/>
        <v>648875.56799999997</v>
      </c>
      <c r="R169" s="139"/>
      <c r="S169" s="166"/>
    </row>
    <row r="170" spans="1:19" s="7" customFormat="1" ht="47.25" x14ac:dyDescent="0.25">
      <c r="A170" s="304"/>
      <c r="B170" s="319" t="s">
        <v>2419</v>
      </c>
      <c r="C170" s="315">
        <v>133</v>
      </c>
      <c r="D170" s="320" t="s">
        <v>2561</v>
      </c>
      <c r="E170" s="220"/>
      <c r="F170" s="223"/>
      <c r="G170" s="217">
        <v>67663</v>
      </c>
      <c r="H170" s="221">
        <v>44068</v>
      </c>
      <c r="I170" s="200">
        <v>189899</v>
      </c>
      <c r="J170" s="200">
        <f>I170</f>
        <v>189899</v>
      </c>
      <c r="K170" s="216">
        <v>1</v>
      </c>
      <c r="L170" s="222">
        <v>44073</v>
      </c>
      <c r="M170" s="200">
        <f>I170</f>
        <v>189899</v>
      </c>
      <c r="N170" s="200">
        <f>J170</f>
        <v>189899</v>
      </c>
      <c r="O170" s="275"/>
      <c r="P170" s="316">
        <f t="shared" si="43"/>
        <v>189899</v>
      </c>
      <c r="Q170" s="316">
        <f t="shared" si="43"/>
        <v>189899</v>
      </c>
      <c r="R170" s="139"/>
      <c r="S170" s="166"/>
    </row>
    <row r="171" spans="1:19" s="7" customFormat="1" ht="47.25" x14ac:dyDescent="0.25">
      <c r="A171" s="304"/>
      <c r="B171" s="319" t="s">
        <v>2687</v>
      </c>
      <c r="C171" s="315"/>
      <c r="D171" s="320"/>
      <c r="E171" s="220"/>
      <c r="F171" s="223"/>
      <c r="G171" s="217"/>
      <c r="H171" s="217"/>
      <c r="I171" s="200">
        <f>1779695.41+104380.26</f>
        <v>1884075.67</v>
      </c>
      <c r="J171" s="200">
        <f>I171</f>
        <v>1884075.67</v>
      </c>
      <c r="K171" s="314"/>
      <c r="L171" s="328"/>
      <c r="M171" s="200">
        <f>I171</f>
        <v>1884075.67</v>
      </c>
      <c r="N171" s="200">
        <f>J171</f>
        <v>1884075.67</v>
      </c>
      <c r="O171" s="322"/>
      <c r="P171" s="316">
        <f>M171</f>
        <v>1884075.67</v>
      </c>
      <c r="Q171" s="316">
        <f t="shared" si="43"/>
        <v>1884075.67</v>
      </c>
      <c r="R171" s="139"/>
      <c r="S171" s="167"/>
    </row>
    <row r="172" spans="1:19" ht="31.5" x14ac:dyDescent="0.25">
      <c r="A172" s="304"/>
      <c r="B172" s="319" t="s">
        <v>2715</v>
      </c>
      <c r="C172" s="320" t="s">
        <v>2204</v>
      </c>
      <c r="D172" s="346" t="s">
        <v>823</v>
      </c>
      <c r="E172" s="346"/>
      <c r="F172" s="223"/>
      <c r="G172" s="217">
        <v>11187</v>
      </c>
      <c r="H172" s="221">
        <v>42542</v>
      </c>
      <c r="I172" s="200">
        <f>707900/1.18</f>
        <v>599915.25423728814</v>
      </c>
      <c r="J172" s="200">
        <f t="shared" si="21"/>
        <v>707900</v>
      </c>
      <c r="K172" s="216">
        <v>3403</v>
      </c>
      <c r="L172" s="222">
        <v>42545</v>
      </c>
      <c r="M172" s="324">
        <f>303305.08-778.89</f>
        <v>302526.19</v>
      </c>
      <c r="N172" s="324">
        <f>M172*1.18+0.01</f>
        <v>356980.9142</v>
      </c>
      <c r="O172" s="275"/>
      <c r="P172" s="200">
        <f t="shared" ref="P172" si="46">M172</f>
        <v>302526.19</v>
      </c>
      <c r="Q172" s="200">
        <f>N172</f>
        <v>356980.9142</v>
      </c>
      <c r="R172" s="137"/>
      <c r="S172" s="509">
        <v>1252065.1599999999</v>
      </c>
    </row>
    <row r="173" spans="1:19" ht="15.75" customHeight="1" x14ac:dyDescent="0.25">
      <c r="A173" s="447"/>
      <c r="B173" s="466" t="s">
        <v>2259</v>
      </c>
      <c r="C173" s="488" t="s">
        <v>2216</v>
      </c>
      <c r="D173" s="488" t="s">
        <v>816</v>
      </c>
      <c r="E173" s="488"/>
      <c r="F173" s="472"/>
      <c r="G173" s="217">
        <v>4624</v>
      </c>
      <c r="H173" s="221">
        <v>42515</v>
      </c>
      <c r="I173" s="200">
        <f>3888000/1.18</f>
        <v>3294915.2542372881</v>
      </c>
      <c r="J173" s="200">
        <f t="shared" si="21"/>
        <v>3888000</v>
      </c>
      <c r="K173" s="468">
        <v>20</v>
      </c>
      <c r="L173" s="470">
        <v>42543</v>
      </c>
      <c r="M173" s="478">
        <f>6480000/1.18/6</f>
        <v>915254.23728813557</v>
      </c>
      <c r="N173" s="474">
        <f>M173*1.18</f>
        <v>1080000</v>
      </c>
      <c r="O173" s="501"/>
      <c r="P173" s="474">
        <f>M173</f>
        <v>915254.23728813557</v>
      </c>
      <c r="Q173" s="474">
        <f>N173</f>
        <v>1080000</v>
      </c>
      <c r="R173" s="137"/>
      <c r="S173" s="510"/>
    </row>
    <row r="174" spans="1:19" ht="15.75" customHeight="1" x14ac:dyDescent="0.25">
      <c r="A174" s="449"/>
      <c r="B174" s="467"/>
      <c r="C174" s="489"/>
      <c r="D174" s="489"/>
      <c r="E174" s="489"/>
      <c r="F174" s="473"/>
      <c r="G174" s="217">
        <v>12719</v>
      </c>
      <c r="H174" s="221">
        <v>42565</v>
      </c>
      <c r="I174" s="200">
        <f>2592000/1.18</f>
        <v>2196610.1694915257</v>
      </c>
      <c r="J174" s="200">
        <f t="shared" si="21"/>
        <v>2592000.0000000005</v>
      </c>
      <c r="K174" s="469"/>
      <c r="L174" s="471"/>
      <c r="M174" s="480"/>
      <c r="N174" s="475"/>
      <c r="O174" s="503"/>
      <c r="P174" s="475"/>
      <c r="Q174" s="475"/>
      <c r="R174" s="137"/>
      <c r="S174" s="510"/>
    </row>
    <row r="175" spans="1:19" ht="47.25" x14ac:dyDescent="0.25">
      <c r="A175" s="304"/>
      <c r="B175" s="219" t="s">
        <v>2688</v>
      </c>
      <c r="C175" s="346"/>
      <c r="D175" s="346"/>
      <c r="E175" s="346"/>
      <c r="F175" s="223"/>
      <c r="G175" s="217"/>
      <c r="H175" s="221"/>
      <c r="I175" s="200">
        <v>34284.730000000003</v>
      </c>
      <c r="J175" s="200">
        <f>I175</f>
        <v>34284.730000000003</v>
      </c>
      <c r="K175" s="216"/>
      <c r="L175" s="222"/>
      <c r="M175" s="324">
        <f>I175</f>
        <v>34284.730000000003</v>
      </c>
      <c r="N175" s="324">
        <f>M175</f>
        <v>34284.730000000003</v>
      </c>
      <c r="O175" s="275"/>
      <c r="P175" s="200">
        <f t="shared" ref="P175:Q176" si="47">M175</f>
        <v>34284.730000000003</v>
      </c>
      <c r="Q175" s="200">
        <f t="shared" si="47"/>
        <v>34284.730000000003</v>
      </c>
      <c r="R175" s="137"/>
      <c r="S175" s="511"/>
    </row>
    <row r="176" spans="1:19" ht="15.75" customHeight="1" x14ac:dyDescent="0.25">
      <c r="A176" s="447"/>
      <c r="B176" s="466" t="s">
        <v>2716</v>
      </c>
      <c r="C176" s="504"/>
      <c r="D176" s="488"/>
      <c r="E176" s="488"/>
      <c r="F176" s="472"/>
      <c r="G176" s="217">
        <v>47</v>
      </c>
      <c r="H176" s="221">
        <v>43518</v>
      </c>
      <c r="I176" s="200">
        <f>222888.9</f>
        <v>222888.9</v>
      </c>
      <c r="J176" s="200">
        <f>I176</f>
        <v>222888.9</v>
      </c>
      <c r="K176" s="468">
        <v>319002</v>
      </c>
      <c r="L176" s="470">
        <v>43507</v>
      </c>
      <c r="M176" s="478">
        <f>731088/2</f>
        <v>365544</v>
      </c>
      <c r="N176" s="478">
        <f>M176</f>
        <v>365544</v>
      </c>
      <c r="O176" s="501"/>
      <c r="P176" s="474">
        <f t="shared" si="47"/>
        <v>365544</v>
      </c>
      <c r="Q176" s="474">
        <f t="shared" si="47"/>
        <v>365544</v>
      </c>
      <c r="R176" s="137">
        <f>I176+I177+I178+I182-M176</f>
        <v>990549.71542372881</v>
      </c>
      <c r="S176" s="135">
        <v>455401.23</v>
      </c>
    </row>
    <row r="177" spans="1:19" ht="15.75" customHeight="1" x14ac:dyDescent="0.25">
      <c r="A177" s="449"/>
      <c r="B177" s="467"/>
      <c r="C177" s="505"/>
      <c r="D177" s="489"/>
      <c r="E177" s="489"/>
      <c r="F177" s="473"/>
      <c r="G177" s="217">
        <v>108</v>
      </c>
      <c r="H177" s="221">
        <v>43642</v>
      </c>
      <c r="I177" s="200">
        <f>504777.7</f>
        <v>504777.7</v>
      </c>
      <c r="J177" s="200">
        <f>I177</f>
        <v>504777.7</v>
      </c>
      <c r="K177" s="469"/>
      <c r="L177" s="471"/>
      <c r="M177" s="480"/>
      <c r="N177" s="480"/>
      <c r="O177" s="503"/>
      <c r="P177" s="475"/>
      <c r="Q177" s="475"/>
      <c r="R177" s="137"/>
      <c r="S177" s="168"/>
    </row>
    <row r="178" spans="1:19" x14ac:dyDescent="0.25">
      <c r="A178" s="304"/>
      <c r="B178" s="219" t="s">
        <v>2260</v>
      </c>
      <c r="C178" s="228"/>
      <c r="D178" s="320"/>
      <c r="E178" s="220"/>
      <c r="F178" s="223"/>
      <c r="G178" s="217">
        <v>120</v>
      </c>
      <c r="H178" s="221">
        <v>43602</v>
      </c>
      <c r="I178" s="200">
        <f>(10152*72.3651)/1.18</f>
        <v>622585.16542372887</v>
      </c>
      <c r="J178" s="200">
        <f>I178*1.18</f>
        <v>734650.4952</v>
      </c>
      <c r="K178" s="216" t="s">
        <v>2532</v>
      </c>
      <c r="L178" s="222">
        <v>43601</v>
      </c>
      <c r="M178" s="225">
        <f>116758.66/2</f>
        <v>58379.33</v>
      </c>
      <c r="N178" s="225">
        <f>M178</f>
        <v>58379.33</v>
      </c>
      <c r="O178" s="275"/>
      <c r="P178" s="200">
        <f t="shared" ref="P178:Q182" si="48">M178</f>
        <v>58379.33</v>
      </c>
      <c r="Q178" s="200">
        <f t="shared" si="48"/>
        <v>58379.33</v>
      </c>
      <c r="R178" s="137"/>
      <c r="S178" s="168"/>
    </row>
    <row r="179" spans="1:19" x14ac:dyDescent="0.25">
      <c r="A179" s="304"/>
      <c r="B179" s="219" t="s">
        <v>2263</v>
      </c>
      <c r="C179" s="228"/>
      <c r="D179" s="320"/>
      <c r="E179" s="220"/>
      <c r="F179" s="223"/>
      <c r="G179" s="217">
        <v>417</v>
      </c>
      <c r="H179" s="221">
        <v>43591</v>
      </c>
      <c r="I179" s="200">
        <f>171500/1.2</f>
        <v>142916.66666666669</v>
      </c>
      <c r="J179" s="200">
        <f>I179*1.2</f>
        <v>171500.00000000003</v>
      </c>
      <c r="K179" s="216">
        <v>172</v>
      </c>
      <c r="L179" s="222">
        <v>43600</v>
      </c>
      <c r="M179" s="225">
        <f>8000/1.2/2</f>
        <v>3333.3333333333335</v>
      </c>
      <c r="N179" s="225">
        <f>M179*1.2</f>
        <v>4000</v>
      </c>
      <c r="O179" s="275"/>
      <c r="P179" s="200">
        <f t="shared" si="48"/>
        <v>3333.3333333333335</v>
      </c>
      <c r="Q179" s="200">
        <f t="shared" si="48"/>
        <v>4000</v>
      </c>
      <c r="R179" s="137"/>
      <c r="S179" s="168"/>
    </row>
    <row r="180" spans="1:19" ht="15.75" customHeight="1" x14ac:dyDescent="0.25">
      <c r="A180" s="447"/>
      <c r="B180" s="466" t="s">
        <v>2262</v>
      </c>
      <c r="C180" s="504"/>
      <c r="D180" s="504"/>
      <c r="E180" s="504"/>
      <c r="F180" s="504"/>
      <c r="G180" s="217">
        <v>42029</v>
      </c>
      <c r="H180" s="221">
        <v>43599</v>
      </c>
      <c r="I180" s="200"/>
      <c r="J180" s="200">
        <f>I180</f>
        <v>0</v>
      </c>
      <c r="K180" s="468">
        <v>121</v>
      </c>
      <c r="L180" s="470" t="s">
        <v>2586</v>
      </c>
      <c r="M180" s="478">
        <f>43105.58/2+1500/2</f>
        <v>22302.79</v>
      </c>
      <c r="N180" s="478">
        <f>M180</f>
        <v>22302.79</v>
      </c>
      <c r="O180" s="501"/>
      <c r="P180" s="474">
        <f t="shared" si="48"/>
        <v>22302.79</v>
      </c>
      <c r="Q180" s="474">
        <f t="shared" si="48"/>
        <v>22302.79</v>
      </c>
      <c r="R180" s="137"/>
      <c r="S180" s="168"/>
    </row>
    <row r="181" spans="1:19" ht="15.75" customHeight="1" x14ac:dyDescent="0.25">
      <c r="A181" s="449"/>
      <c r="B181" s="467"/>
      <c r="C181" s="505"/>
      <c r="D181" s="505"/>
      <c r="E181" s="505"/>
      <c r="F181" s="505"/>
      <c r="G181" s="217">
        <v>42028</v>
      </c>
      <c r="H181" s="221">
        <v>43599</v>
      </c>
      <c r="I181" s="200">
        <v>400000</v>
      </c>
      <c r="J181" s="200">
        <f>I181</f>
        <v>400000</v>
      </c>
      <c r="K181" s="469"/>
      <c r="L181" s="471"/>
      <c r="M181" s="480"/>
      <c r="N181" s="480"/>
      <c r="O181" s="503"/>
      <c r="P181" s="475"/>
      <c r="Q181" s="475"/>
      <c r="R181" s="137"/>
      <c r="S181" s="168"/>
    </row>
    <row r="182" spans="1:19" ht="31.5" x14ac:dyDescent="0.25">
      <c r="A182" s="304"/>
      <c r="B182" s="219" t="s">
        <v>2689</v>
      </c>
      <c r="C182" s="332"/>
      <c r="D182" s="320"/>
      <c r="E182" s="220"/>
      <c r="F182" s="223"/>
      <c r="G182" s="217"/>
      <c r="H182" s="221"/>
      <c r="I182" s="200">
        <v>5841.95</v>
      </c>
      <c r="J182" s="200">
        <f>I182</f>
        <v>5841.95</v>
      </c>
      <c r="K182" s="216"/>
      <c r="L182" s="222"/>
      <c r="M182" s="225">
        <f t="shared" ref="M182:N182" si="49">I182</f>
        <v>5841.95</v>
      </c>
      <c r="N182" s="225">
        <f t="shared" si="49"/>
        <v>5841.95</v>
      </c>
      <c r="O182" s="275"/>
      <c r="P182" s="200">
        <f t="shared" si="48"/>
        <v>5841.95</v>
      </c>
      <c r="Q182" s="200">
        <f t="shared" si="48"/>
        <v>5841.95</v>
      </c>
      <c r="R182" s="137"/>
      <c r="S182" s="140"/>
    </row>
    <row r="183" spans="1:19" ht="15.75" customHeight="1" x14ac:dyDescent="0.25">
      <c r="A183" s="447"/>
      <c r="B183" s="466" t="s">
        <v>2717</v>
      </c>
      <c r="C183" s="488" t="s">
        <v>2206</v>
      </c>
      <c r="D183" s="488" t="s">
        <v>2205</v>
      </c>
      <c r="E183" s="488"/>
      <c r="F183" s="472">
        <f>164406.78*1.18</f>
        <v>194000.00039999999</v>
      </c>
      <c r="G183" s="217">
        <v>52682</v>
      </c>
      <c r="H183" s="221">
        <v>43024</v>
      </c>
      <c r="I183" s="200">
        <f>97000/1.18</f>
        <v>82203.389830508473</v>
      </c>
      <c r="J183" s="200">
        <f t="shared" ref="J183:J199" si="50">I183*1.18</f>
        <v>97000</v>
      </c>
      <c r="K183" s="468">
        <v>15367</v>
      </c>
      <c r="L183" s="470" t="s">
        <v>2455</v>
      </c>
      <c r="M183" s="478">
        <f>I183+I184</f>
        <v>164406.77966101695</v>
      </c>
      <c r="N183" s="478">
        <f>J183+J184</f>
        <v>194000</v>
      </c>
      <c r="O183" s="481"/>
      <c r="P183" s="474">
        <f>M183</f>
        <v>164406.77966101695</v>
      </c>
      <c r="Q183" s="474">
        <f>N183</f>
        <v>194000</v>
      </c>
      <c r="R183" s="137"/>
      <c r="S183" s="135">
        <v>168192.8</v>
      </c>
    </row>
    <row r="184" spans="1:19" ht="15.75" customHeight="1" x14ac:dyDescent="0.25">
      <c r="A184" s="449"/>
      <c r="B184" s="467"/>
      <c r="C184" s="489"/>
      <c r="D184" s="489"/>
      <c r="E184" s="489"/>
      <c r="F184" s="473"/>
      <c r="G184" s="217">
        <v>53117</v>
      </c>
      <c r="H184" s="221">
        <v>43033</v>
      </c>
      <c r="I184" s="200">
        <f>97000/1.18</f>
        <v>82203.389830508473</v>
      </c>
      <c r="J184" s="200">
        <f t="shared" si="50"/>
        <v>97000</v>
      </c>
      <c r="K184" s="469"/>
      <c r="L184" s="471"/>
      <c r="M184" s="480"/>
      <c r="N184" s="480"/>
      <c r="O184" s="483"/>
      <c r="P184" s="475"/>
      <c r="Q184" s="475"/>
      <c r="R184" s="137"/>
      <c r="S184" s="168"/>
    </row>
    <row r="185" spans="1:19" x14ac:dyDescent="0.25">
      <c r="A185" s="304"/>
      <c r="B185" s="219" t="s">
        <v>2261</v>
      </c>
      <c r="C185" s="311" t="s">
        <v>2290</v>
      </c>
      <c r="D185" s="311" t="s">
        <v>2289</v>
      </c>
      <c r="E185" s="220"/>
      <c r="F185" s="223"/>
      <c r="G185" s="217">
        <v>53569</v>
      </c>
      <c r="H185" s="221">
        <v>43041</v>
      </c>
      <c r="I185" s="200">
        <f>33350/1.18</f>
        <v>28262.711864406781</v>
      </c>
      <c r="J185" s="200">
        <f t="shared" si="50"/>
        <v>33350</v>
      </c>
      <c r="K185" s="216">
        <v>4166</v>
      </c>
      <c r="L185" s="222">
        <v>43041</v>
      </c>
      <c r="M185" s="225">
        <v>3786.02</v>
      </c>
      <c r="N185" s="225">
        <f>M185*1.18</f>
        <v>4467.5036</v>
      </c>
      <c r="O185" s="276"/>
      <c r="P185" s="200">
        <f t="shared" ref="P185:Q185" si="51">M185</f>
        <v>3786.02</v>
      </c>
      <c r="Q185" s="200">
        <f t="shared" si="51"/>
        <v>4467.5036</v>
      </c>
      <c r="R185" s="137"/>
      <c r="S185" s="140"/>
    </row>
    <row r="186" spans="1:19" s="7" customFormat="1" ht="15.75" customHeight="1" x14ac:dyDescent="0.25">
      <c r="A186" s="447"/>
      <c r="B186" s="466" t="s">
        <v>2690</v>
      </c>
      <c r="C186" s="504" t="s">
        <v>2587</v>
      </c>
      <c r="D186" s="488" t="s">
        <v>2588</v>
      </c>
      <c r="E186" s="488"/>
      <c r="F186" s="488"/>
      <c r="G186" s="217">
        <v>53058</v>
      </c>
      <c r="H186" s="221">
        <v>43032</v>
      </c>
      <c r="I186" s="200">
        <f>24138.2/1.18</f>
        <v>20456.101694915254</v>
      </c>
      <c r="J186" s="200">
        <f t="shared" si="50"/>
        <v>24138.2</v>
      </c>
      <c r="K186" s="468">
        <v>2598</v>
      </c>
      <c r="L186" s="470">
        <v>43035</v>
      </c>
      <c r="M186" s="478">
        <f>I186+I187+I188</f>
        <v>189947.62711864407</v>
      </c>
      <c r="N186" s="478">
        <f>J186+J187+J188</f>
        <v>224138.2</v>
      </c>
      <c r="O186" s="501"/>
      <c r="P186" s="474">
        <f>M186</f>
        <v>189947.62711864407</v>
      </c>
      <c r="Q186" s="474">
        <f>N186</f>
        <v>224138.2</v>
      </c>
      <c r="R186" s="139"/>
      <c r="S186" s="135">
        <v>189947.63</v>
      </c>
    </row>
    <row r="187" spans="1:19" s="7" customFormat="1" ht="15.75" customHeight="1" x14ac:dyDescent="0.25">
      <c r="A187" s="448"/>
      <c r="B187" s="484"/>
      <c r="C187" s="506"/>
      <c r="D187" s="493"/>
      <c r="E187" s="493"/>
      <c r="F187" s="493"/>
      <c r="G187" s="217">
        <v>53177</v>
      </c>
      <c r="H187" s="221">
        <v>43034</v>
      </c>
      <c r="I187" s="200">
        <f>100000/1.18</f>
        <v>84745.762711864416</v>
      </c>
      <c r="J187" s="200">
        <f t="shared" si="50"/>
        <v>100000</v>
      </c>
      <c r="K187" s="476"/>
      <c r="L187" s="477"/>
      <c r="M187" s="479"/>
      <c r="N187" s="479"/>
      <c r="O187" s="502"/>
      <c r="P187" s="496"/>
      <c r="Q187" s="496"/>
      <c r="R187" s="139"/>
      <c r="S187" s="168"/>
    </row>
    <row r="188" spans="1:19" s="7" customFormat="1" ht="15.75" customHeight="1" x14ac:dyDescent="0.25">
      <c r="A188" s="449"/>
      <c r="B188" s="467"/>
      <c r="C188" s="505"/>
      <c r="D188" s="489"/>
      <c r="E188" s="489"/>
      <c r="F188" s="489"/>
      <c r="G188" s="217">
        <v>53262</v>
      </c>
      <c r="H188" s="221">
        <v>43035</v>
      </c>
      <c r="I188" s="200">
        <f>100000/1.18</f>
        <v>84745.762711864416</v>
      </c>
      <c r="J188" s="200">
        <f t="shared" si="50"/>
        <v>100000</v>
      </c>
      <c r="K188" s="469"/>
      <c r="L188" s="471"/>
      <c r="M188" s="480"/>
      <c r="N188" s="480"/>
      <c r="O188" s="503"/>
      <c r="P188" s="475"/>
      <c r="Q188" s="475"/>
      <c r="R188" s="139"/>
      <c r="S188" s="140"/>
    </row>
    <row r="189" spans="1:19" ht="15.75" customHeight="1" x14ac:dyDescent="0.25">
      <c r="A189" s="447"/>
      <c r="B189" s="466" t="s">
        <v>2718</v>
      </c>
      <c r="C189" s="504" t="s">
        <v>2590</v>
      </c>
      <c r="D189" s="488" t="s">
        <v>2589</v>
      </c>
      <c r="E189" s="488"/>
      <c r="F189" s="488"/>
      <c r="G189" s="217">
        <v>17552</v>
      </c>
      <c r="H189" s="221">
        <v>42688</v>
      </c>
      <c r="I189" s="200">
        <f>60000/1.18</f>
        <v>50847.457627118645</v>
      </c>
      <c r="J189" s="200">
        <f t="shared" si="50"/>
        <v>60000</v>
      </c>
      <c r="K189" s="468">
        <v>341</v>
      </c>
      <c r="L189" s="470">
        <v>42691</v>
      </c>
      <c r="M189" s="478">
        <f>I189+I190+I191+I192+I193+I194+I195+I196</f>
        <v>389830.50847457635</v>
      </c>
      <c r="N189" s="478">
        <f>J189+J190+J191+J192+J193+J194+J195+J196</f>
        <v>460000</v>
      </c>
      <c r="O189" s="501"/>
      <c r="P189" s="474">
        <f>M189</f>
        <v>389830.50847457635</v>
      </c>
      <c r="Q189" s="474">
        <f>N189</f>
        <v>460000</v>
      </c>
      <c r="R189" s="137"/>
      <c r="S189" s="135">
        <v>392191</v>
      </c>
    </row>
    <row r="190" spans="1:19" ht="15.75" customHeight="1" x14ac:dyDescent="0.25">
      <c r="A190" s="448"/>
      <c r="B190" s="484"/>
      <c r="C190" s="506"/>
      <c r="D190" s="493"/>
      <c r="E190" s="493"/>
      <c r="F190" s="493"/>
      <c r="G190" s="217">
        <v>495</v>
      </c>
      <c r="H190" s="221">
        <v>42758</v>
      </c>
      <c r="I190" s="200">
        <f>100000/1.18</f>
        <v>84745.762711864416</v>
      </c>
      <c r="J190" s="200">
        <f t="shared" si="50"/>
        <v>100000</v>
      </c>
      <c r="K190" s="476"/>
      <c r="L190" s="477"/>
      <c r="M190" s="479"/>
      <c r="N190" s="479"/>
      <c r="O190" s="502"/>
      <c r="P190" s="496"/>
      <c r="Q190" s="496"/>
      <c r="R190" s="137"/>
    </row>
    <row r="191" spans="1:19" ht="15.75" customHeight="1" x14ac:dyDescent="0.25">
      <c r="A191" s="448"/>
      <c r="B191" s="484"/>
      <c r="C191" s="506"/>
      <c r="D191" s="493"/>
      <c r="E191" s="493"/>
      <c r="F191" s="493"/>
      <c r="G191" s="217">
        <v>571</v>
      </c>
      <c r="H191" s="221">
        <v>42759</v>
      </c>
      <c r="I191" s="200">
        <f t="shared" ref="I191:I196" si="52">50000/1.18</f>
        <v>42372.881355932208</v>
      </c>
      <c r="J191" s="200">
        <f t="shared" si="50"/>
        <v>50000</v>
      </c>
      <c r="K191" s="476"/>
      <c r="L191" s="477"/>
      <c r="M191" s="479"/>
      <c r="N191" s="479"/>
      <c r="O191" s="502"/>
      <c r="P191" s="496"/>
      <c r="Q191" s="496"/>
      <c r="R191" s="137"/>
    </row>
    <row r="192" spans="1:19" ht="15.75" customHeight="1" x14ac:dyDescent="0.25">
      <c r="A192" s="448"/>
      <c r="B192" s="484"/>
      <c r="C192" s="506"/>
      <c r="D192" s="493"/>
      <c r="E192" s="493"/>
      <c r="F192" s="493"/>
      <c r="G192" s="217">
        <v>665</v>
      </c>
      <c r="H192" s="221">
        <v>42760</v>
      </c>
      <c r="I192" s="200">
        <f t="shared" si="52"/>
        <v>42372.881355932208</v>
      </c>
      <c r="J192" s="200">
        <f t="shared" si="50"/>
        <v>50000</v>
      </c>
      <c r="K192" s="476"/>
      <c r="L192" s="477"/>
      <c r="M192" s="479"/>
      <c r="N192" s="479"/>
      <c r="O192" s="502"/>
      <c r="P192" s="496"/>
      <c r="Q192" s="496"/>
      <c r="R192" s="137"/>
    </row>
    <row r="193" spans="1:19" ht="15.75" customHeight="1" x14ac:dyDescent="0.25">
      <c r="A193" s="448"/>
      <c r="B193" s="484"/>
      <c r="C193" s="506"/>
      <c r="D193" s="493"/>
      <c r="E193" s="493"/>
      <c r="F193" s="493"/>
      <c r="G193" s="217">
        <v>727</v>
      </c>
      <c r="H193" s="221">
        <v>42761</v>
      </c>
      <c r="I193" s="200">
        <f t="shared" si="52"/>
        <v>42372.881355932208</v>
      </c>
      <c r="J193" s="200">
        <f t="shared" si="50"/>
        <v>50000</v>
      </c>
      <c r="K193" s="476"/>
      <c r="L193" s="477"/>
      <c r="M193" s="479"/>
      <c r="N193" s="479"/>
      <c r="O193" s="502"/>
      <c r="P193" s="496"/>
      <c r="Q193" s="496"/>
      <c r="R193" s="137"/>
    </row>
    <row r="194" spans="1:19" ht="15.75" customHeight="1" x14ac:dyDescent="0.25">
      <c r="A194" s="448"/>
      <c r="B194" s="484"/>
      <c r="C194" s="506"/>
      <c r="D194" s="493"/>
      <c r="E194" s="493"/>
      <c r="F194" s="493"/>
      <c r="G194" s="217">
        <v>764</v>
      </c>
      <c r="H194" s="221">
        <v>42762</v>
      </c>
      <c r="I194" s="200">
        <f t="shared" si="52"/>
        <v>42372.881355932208</v>
      </c>
      <c r="J194" s="200">
        <f t="shared" si="50"/>
        <v>50000</v>
      </c>
      <c r="K194" s="476"/>
      <c r="L194" s="477"/>
      <c r="M194" s="479"/>
      <c r="N194" s="479"/>
      <c r="O194" s="502"/>
      <c r="P194" s="496"/>
      <c r="Q194" s="496"/>
      <c r="R194" s="137"/>
    </row>
    <row r="195" spans="1:19" ht="15.75" customHeight="1" x14ac:dyDescent="0.25">
      <c r="A195" s="448"/>
      <c r="B195" s="484"/>
      <c r="C195" s="506"/>
      <c r="D195" s="493"/>
      <c r="E195" s="493"/>
      <c r="F195" s="493"/>
      <c r="G195" s="217">
        <v>846</v>
      </c>
      <c r="H195" s="221">
        <v>42766</v>
      </c>
      <c r="I195" s="200">
        <f t="shared" si="52"/>
        <v>42372.881355932208</v>
      </c>
      <c r="J195" s="200">
        <f t="shared" si="50"/>
        <v>50000</v>
      </c>
      <c r="K195" s="476"/>
      <c r="L195" s="477"/>
      <c r="M195" s="479"/>
      <c r="N195" s="479"/>
      <c r="O195" s="502"/>
      <c r="P195" s="496"/>
      <c r="Q195" s="496"/>
      <c r="R195" s="137"/>
    </row>
    <row r="196" spans="1:19" ht="15.75" customHeight="1" x14ac:dyDescent="0.25">
      <c r="A196" s="449"/>
      <c r="B196" s="467"/>
      <c r="C196" s="505"/>
      <c r="D196" s="489"/>
      <c r="E196" s="489"/>
      <c r="F196" s="489"/>
      <c r="G196" s="217">
        <v>21751</v>
      </c>
      <c r="H196" s="221">
        <v>42767</v>
      </c>
      <c r="I196" s="200">
        <f t="shared" si="52"/>
        <v>42372.881355932208</v>
      </c>
      <c r="J196" s="200">
        <f t="shared" si="50"/>
        <v>50000</v>
      </c>
      <c r="K196" s="469"/>
      <c r="L196" s="471"/>
      <c r="M196" s="480"/>
      <c r="N196" s="480"/>
      <c r="O196" s="503"/>
      <c r="P196" s="475"/>
      <c r="Q196" s="475"/>
      <c r="R196" s="137"/>
    </row>
    <row r="197" spans="1:19" ht="31.5" x14ac:dyDescent="0.25">
      <c r="A197" s="304"/>
      <c r="B197" s="219" t="s">
        <v>2691</v>
      </c>
      <c r="C197" s="329"/>
      <c r="D197" s="320"/>
      <c r="E197" s="220"/>
      <c r="F197" s="223"/>
      <c r="G197" s="217"/>
      <c r="H197" s="221"/>
      <c r="I197" s="200">
        <v>2360.4899999999998</v>
      </c>
      <c r="J197" s="200">
        <f t="shared" si="50"/>
        <v>2785.3781999999997</v>
      </c>
      <c r="K197" s="216"/>
      <c r="L197" s="222"/>
      <c r="M197" s="225">
        <f t="shared" ref="M197:N197" si="53">I197</f>
        <v>2360.4899999999998</v>
      </c>
      <c r="N197" s="225">
        <f t="shared" si="53"/>
        <v>2785.3781999999997</v>
      </c>
      <c r="O197" s="275"/>
      <c r="P197" s="200">
        <f t="shared" ref="P197:Q197" si="54">M197</f>
        <v>2360.4899999999998</v>
      </c>
      <c r="Q197" s="200">
        <f t="shared" si="54"/>
        <v>2785.3781999999997</v>
      </c>
      <c r="R197" s="137"/>
    </row>
    <row r="198" spans="1:19" ht="15.75" customHeight="1" x14ac:dyDescent="0.25">
      <c r="A198" s="447"/>
      <c r="B198" s="466" t="s">
        <v>2692</v>
      </c>
      <c r="C198" s="504" t="s">
        <v>2207</v>
      </c>
      <c r="D198" s="488" t="s">
        <v>118</v>
      </c>
      <c r="E198" s="488"/>
      <c r="F198" s="488"/>
      <c r="G198" s="217">
        <v>16029</v>
      </c>
      <c r="H198" s="221">
        <v>42654</v>
      </c>
      <c r="I198" s="200">
        <f>107559.45/1.18</f>
        <v>91152.076271186437</v>
      </c>
      <c r="J198" s="200">
        <f t="shared" si="50"/>
        <v>107559.45</v>
      </c>
      <c r="K198" s="468">
        <v>1765</v>
      </c>
      <c r="L198" s="470">
        <v>42661</v>
      </c>
      <c r="M198" s="478">
        <f>I198+I199</f>
        <v>264880.8898305085</v>
      </c>
      <c r="N198" s="478">
        <f>J198+J199</f>
        <v>312559.45</v>
      </c>
      <c r="O198" s="501"/>
      <c r="P198" s="474">
        <f>M198</f>
        <v>264880.8898305085</v>
      </c>
      <c r="Q198" s="474">
        <f>N198</f>
        <v>312559.45</v>
      </c>
      <c r="R198" s="137"/>
      <c r="S198" s="135">
        <v>264880.89</v>
      </c>
    </row>
    <row r="199" spans="1:19" ht="15.75" customHeight="1" x14ac:dyDescent="0.25">
      <c r="A199" s="449"/>
      <c r="B199" s="467"/>
      <c r="C199" s="505"/>
      <c r="D199" s="489"/>
      <c r="E199" s="489"/>
      <c r="F199" s="489"/>
      <c r="G199" s="217">
        <v>15942</v>
      </c>
      <c r="H199" s="221">
        <v>42653</v>
      </c>
      <c r="I199" s="200">
        <f>205000/1.18</f>
        <v>173728.81355932204</v>
      </c>
      <c r="J199" s="200">
        <f t="shared" si="50"/>
        <v>205000</v>
      </c>
      <c r="K199" s="469"/>
      <c r="L199" s="471"/>
      <c r="M199" s="480"/>
      <c r="N199" s="480"/>
      <c r="O199" s="503"/>
      <c r="P199" s="475"/>
      <c r="Q199" s="475"/>
      <c r="R199" s="137"/>
    </row>
    <row r="200" spans="1:19" ht="31.5" x14ac:dyDescent="0.25">
      <c r="A200" s="304"/>
      <c r="B200" s="219" t="s">
        <v>2693</v>
      </c>
      <c r="C200" s="329" t="s">
        <v>2593</v>
      </c>
      <c r="D200" s="320"/>
      <c r="E200" s="220"/>
      <c r="F200" s="223"/>
      <c r="G200" s="217">
        <v>314</v>
      </c>
      <c r="H200" s="221">
        <v>43069</v>
      </c>
      <c r="I200" s="200">
        <f>14770*69.4151</f>
        <v>1025261.0269999999</v>
      </c>
      <c r="J200" s="200">
        <f>I200</f>
        <v>1025261.0269999999</v>
      </c>
      <c r="K200" s="216" t="s">
        <v>2591</v>
      </c>
      <c r="L200" s="222" t="s">
        <v>2592</v>
      </c>
      <c r="M200" s="225">
        <f>I200</f>
        <v>1025261.0269999999</v>
      </c>
      <c r="N200" s="225">
        <f>J200</f>
        <v>1025261.0269999999</v>
      </c>
      <c r="O200" s="276"/>
      <c r="P200" s="200">
        <f t="shared" ref="P200:Q238" si="55">M200</f>
        <v>1025261.0269999999</v>
      </c>
      <c r="Q200" s="200">
        <f t="shared" si="55"/>
        <v>1025261.0269999999</v>
      </c>
      <c r="R200" s="137"/>
      <c r="S200" s="135">
        <v>1116831.48</v>
      </c>
    </row>
    <row r="201" spans="1:19" x14ac:dyDescent="0.25">
      <c r="A201" s="304"/>
      <c r="B201" s="219" t="s">
        <v>2260</v>
      </c>
      <c r="C201" s="329"/>
      <c r="D201" s="320"/>
      <c r="E201" s="220"/>
      <c r="F201" s="223"/>
      <c r="G201" s="217">
        <v>306</v>
      </c>
      <c r="H201" s="221">
        <v>43063</v>
      </c>
      <c r="I201" s="200">
        <v>56078.06</v>
      </c>
      <c r="J201" s="200">
        <f>I201</f>
        <v>56078.06</v>
      </c>
      <c r="K201" s="216">
        <v>151117</v>
      </c>
      <c r="L201" s="222">
        <v>43054</v>
      </c>
      <c r="M201" s="225">
        <v>56078.06</v>
      </c>
      <c r="N201" s="225">
        <f>M201</f>
        <v>56078.06</v>
      </c>
      <c r="O201" s="276"/>
      <c r="P201" s="200">
        <f t="shared" si="55"/>
        <v>56078.06</v>
      </c>
      <c r="Q201" s="200">
        <f t="shared" si="55"/>
        <v>56078.06</v>
      </c>
      <c r="R201" s="137"/>
    </row>
    <row r="202" spans="1:19" ht="30" x14ac:dyDescent="0.25">
      <c r="A202" s="347"/>
      <c r="B202" s="318" t="s">
        <v>2262</v>
      </c>
      <c r="C202" s="229"/>
      <c r="D202" s="229"/>
      <c r="E202" s="229"/>
      <c r="F202" s="229"/>
      <c r="G202" s="217">
        <v>56169</v>
      </c>
      <c r="H202" s="221">
        <v>43091</v>
      </c>
      <c r="I202" s="200">
        <v>500000</v>
      </c>
      <c r="J202" s="200">
        <f>I202</f>
        <v>500000</v>
      </c>
      <c r="K202" s="217" t="s">
        <v>2533</v>
      </c>
      <c r="L202" s="222">
        <v>43094</v>
      </c>
      <c r="M202" s="225">
        <f>26914.53</f>
        <v>26914.53</v>
      </c>
      <c r="N202" s="225">
        <f>M202</f>
        <v>26914.53</v>
      </c>
      <c r="O202" s="276"/>
      <c r="P202" s="200">
        <f t="shared" si="55"/>
        <v>26914.53</v>
      </c>
      <c r="Q202" s="200">
        <f t="shared" si="55"/>
        <v>26914.53</v>
      </c>
      <c r="R202" s="137"/>
    </row>
    <row r="203" spans="1:19" x14ac:dyDescent="0.25">
      <c r="A203" s="304"/>
      <c r="B203" s="219" t="s">
        <v>2263</v>
      </c>
      <c r="C203" s="329" t="s">
        <v>2293</v>
      </c>
      <c r="D203" s="320" t="s">
        <v>1158</v>
      </c>
      <c r="E203" s="220"/>
      <c r="F203" s="223"/>
      <c r="G203" s="217">
        <v>56343</v>
      </c>
      <c r="H203" s="221">
        <v>43096</v>
      </c>
      <c r="I203" s="200">
        <f>130000/1.18</f>
        <v>110169.49152542373</v>
      </c>
      <c r="J203" s="200">
        <f>I203*1.18</f>
        <v>129999.99999999999</v>
      </c>
      <c r="K203" s="216">
        <v>271</v>
      </c>
      <c r="L203" s="222">
        <v>43094</v>
      </c>
      <c r="M203" s="225">
        <f>8578.16</f>
        <v>8578.16</v>
      </c>
      <c r="N203" s="225">
        <f>M203*1.18</f>
        <v>10122.228799999999</v>
      </c>
      <c r="O203" s="276"/>
      <c r="P203" s="200">
        <f t="shared" si="55"/>
        <v>8578.16</v>
      </c>
      <c r="Q203" s="200">
        <f t="shared" si="55"/>
        <v>10122.228799999999</v>
      </c>
      <c r="R203" s="137"/>
    </row>
    <row r="204" spans="1:19" ht="15.75" customHeight="1" x14ac:dyDescent="0.25">
      <c r="A204" s="447"/>
      <c r="B204" s="466" t="s">
        <v>2694</v>
      </c>
      <c r="C204" s="329" t="s">
        <v>2208</v>
      </c>
      <c r="D204" s="320" t="s">
        <v>2209</v>
      </c>
      <c r="E204" s="488"/>
      <c r="F204" s="472">
        <f>J204</f>
        <v>550071.66418399999</v>
      </c>
      <c r="G204" s="490">
        <v>18</v>
      </c>
      <c r="H204" s="494">
        <v>43866</v>
      </c>
      <c r="I204" s="474">
        <f>7871.92*69.8777</f>
        <v>550071.66418399999</v>
      </c>
      <c r="J204" s="474">
        <f>I204</f>
        <v>550071.66418399999</v>
      </c>
      <c r="K204" s="216" t="s">
        <v>2208</v>
      </c>
      <c r="L204" s="222">
        <v>43864</v>
      </c>
      <c r="M204" s="478">
        <f>I204</f>
        <v>550071.66418399999</v>
      </c>
      <c r="N204" s="478">
        <f>J204</f>
        <v>550071.66418399999</v>
      </c>
      <c r="O204" s="501"/>
      <c r="P204" s="474">
        <f t="shared" si="55"/>
        <v>550071.66418399999</v>
      </c>
      <c r="Q204" s="474">
        <f t="shared" si="55"/>
        <v>550071.66418399999</v>
      </c>
      <c r="R204" s="137"/>
      <c r="S204" s="135">
        <v>626932.24</v>
      </c>
    </row>
    <row r="205" spans="1:19" ht="15.75" customHeight="1" x14ac:dyDescent="0.25">
      <c r="A205" s="449"/>
      <c r="B205" s="467"/>
      <c r="C205" s="329" t="s">
        <v>2210</v>
      </c>
      <c r="D205" s="320" t="s">
        <v>2211</v>
      </c>
      <c r="E205" s="489"/>
      <c r="F205" s="473"/>
      <c r="G205" s="491"/>
      <c r="H205" s="495"/>
      <c r="I205" s="475"/>
      <c r="J205" s="475"/>
      <c r="K205" s="216" t="s">
        <v>2210</v>
      </c>
      <c r="L205" s="222">
        <v>43829</v>
      </c>
      <c r="M205" s="480"/>
      <c r="N205" s="480"/>
      <c r="O205" s="503"/>
      <c r="P205" s="475"/>
      <c r="Q205" s="475"/>
      <c r="R205" s="137"/>
    </row>
    <row r="206" spans="1:19" x14ac:dyDescent="0.25">
      <c r="A206" s="304"/>
      <c r="B206" s="219" t="s">
        <v>2264</v>
      </c>
      <c r="C206" s="329"/>
      <c r="D206" s="320"/>
      <c r="E206" s="220"/>
      <c r="F206" s="223"/>
      <c r="G206" s="331">
        <v>1735</v>
      </c>
      <c r="H206" s="341">
        <v>43872</v>
      </c>
      <c r="I206" s="317">
        <v>200000</v>
      </c>
      <c r="J206" s="317">
        <f t="shared" ref="J206" si="56">I206</f>
        <v>200000</v>
      </c>
      <c r="K206" s="216">
        <v>35</v>
      </c>
      <c r="L206" s="222">
        <v>43886</v>
      </c>
      <c r="M206" s="225">
        <f>21435.12</f>
        <v>21435.119999999999</v>
      </c>
      <c r="N206" s="225">
        <f t="shared" ref="N206:N209" si="57">M206</f>
        <v>21435.119999999999</v>
      </c>
      <c r="O206" s="275"/>
      <c r="P206" s="200">
        <f t="shared" ref="P206:Q209" si="58">M206</f>
        <v>21435.119999999999</v>
      </c>
      <c r="Q206" s="200">
        <f t="shared" si="58"/>
        <v>21435.119999999999</v>
      </c>
      <c r="R206" s="137"/>
    </row>
    <row r="207" spans="1:19" x14ac:dyDescent="0.25">
      <c r="A207" s="304"/>
      <c r="B207" s="219" t="s">
        <v>2263</v>
      </c>
      <c r="C207" s="329" t="s">
        <v>2293</v>
      </c>
      <c r="D207" s="320" t="s">
        <v>1158</v>
      </c>
      <c r="E207" s="220"/>
      <c r="F207" s="223"/>
      <c r="G207" s="331">
        <v>58829</v>
      </c>
      <c r="H207" s="341">
        <v>43894</v>
      </c>
      <c r="I207" s="317">
        <f>37000/1.2</f>
        <v>30833.333333333336</v>
      </c>
      <c r="J207" s="317">
        <f>I207*1.2</f>
        <v>37000</v>
      </c>
      <c r="K207" s="216">
        <v>47</v>
      </c>
      <c r="L207" s="222">
        <v>43886</v>
      </c>
      <c r="M207" s="225">
        <v>7239.02</v>
      </c>
      <c r="N207" s="225">
        <f>M207*1.2</f>
        <v>8686.8240000000005</v>
      </c>
      <c r="O207" s="275"/>
      <c r="P207" s="200">
        <f t="shared" si="58"/>
        <v>7239.02</v>
      </c>
      <c r="Q207" s="200">
        <f t="shared" si="58"/>
        <v>8686.8240000000005</v>
      </c>
      <c r="R207" s="137"/>
    </row>
    <row r="208" spans="1:19" x14ac:dyDescent="0.25">
      <c r="A208" s="304"/>
      <c r="B208" s="319" t="s">
        <v>2265</v>
      </c>
      <c r="C208" s="329" t="s">
        <v>2217</v>
      </c>
      <c r="D208" s="320" t="s">
        <v>2218</v>
      </c>
      <c r="E208" s="220"/>
      <c r="F208" s="223"/>
      <c r="G208" s="331">
        <v>58578</v>
      </c>
      <c r="H208" s="341">
        <v>43889</v>
      </c>
      <c r="I208" s="317">
        <v>3190.9</v>
      </c>
      <c r="J208" s="317">
        <f>I208</f>
        <v>3190.9</v>
      </c>
      <c r="K208" s="216" t="s">
        <v>2454</v>
      </c>
      <c r="L208" s="222">
        <v>43886</v>
      </c>
      <c r="M208" s="225">
        <f t="shared" ref="M208" si="59">I208</f>
        <v>3190.9</v>
      </c>
      <c r="N208" s="225">
        <f t="shared" si="57"/>
        <v>3190.9</v>
      </c>
      <c r="O208" s="275"/>
      <c r="P208" s="200">
        <f t="shared" si="58"/>
        <v>3190.9</v>
      </c>
      <c r="Q208" s="200">
        <f t="shared" si="58"/>
        <v>3190.9</v>
      </c>
      <c r="R208" s="137"/>
    </row>
    <row r="209" spans="1:20" x14ac:dyDescent="0.25">
      <c r="A209" s="304"/>
      <c r="B209" s="319" t="s">
        <v>2266</v>
      </c>
      <c r="C209" s="329"/>
      <c r="D209" s="320"/>
      <c r="E209" s="220"/>
      <c r="F209" s="223"/>
      <c r="G209" s="331">
        <v>69</v>
      </c>
      <c r="H209" s="341">
        <v>43951</v>
      </c>
      <c r="I209" s="317">
        <v>44995.54</v>
      </c>
      <c r="J209" s="317">
        <f>I209</f>
        <v>44995.54</v>
      </c>
      <c r="K209" s="216" t="s">
        <v>2534</v>
      </c>
      <c r="L209" s="222">
        <v>43886</v>
      </c>
      <c r="M209" s="225">
        <f>I209</f>
        <v>44995.54</v>
      </c>
      <c r="N209" s="225">
        <f t="shared" si="57"/>
        <v>44995.54</v>
      </c>
      <c r="O209" s="275"/>
      <c r="P209" s="200">
        <f t="shared" si="58"/>
        <v>44995.54</v>
      </c>
      <c r="Q209" s="200">
        <f t="shared" si="58"/>
        <v>44995.54</v>
      </c>
      <c r="R209" s="137"/>
    </row>
    <row r="210" spans="1:20" ht="15.75" customHeight="1" x14ac:dyDescent="0.25">
      <c r="A210" s="447"/>
      <c r="B210" s="466" t="s">
        <v>2535</v>
      </c>
      <c r="C210" s="504" t="s">
        <v>2594</v>
      </c>
      <c r="D210" s="488" t="s">
        <v>2595</v>
      </c>
      <c r="E210" s="488"/>
      <c r="F210" s="488"/>
      <c r="G210" s="217">
        <v>2373</v>
      </c>
      <c r="H210" s="221">
        <v>42446</v>
      </c>
      <c r="I210" s="200">
        <f>390300.86/1.18</f>
        <v>330763.44067796611</v>
      </c>
      <c r="J210" s="200">
        <f t="shared" ref="J210:J232" si="60">I210*1.18</f>
        <v>390300.86</v>
      </c>
      <c r="K210" s="216" t="s">
        <v>2456</v>
      </c>
      <c r="L210" s="222">
        <v>42451</v>
      </c>
      <c r="M210" s="200">
        <f>2565819.5/1.18</f>
        <v>2174423.3050847459</v>
      </c>
      <c r="N210" s="200">
        <f>M210*1.18</f>
        <v>2565819.5</v>
      </c>
      <c r="O210" s="275"/>
      <c r="P210" s="200">
        <f t="shared" si="55"/>
        <v>2174423.3050847459</v>
      </c>
      <c r="Q210" s="200">
        <f t="shared" si="55"/>
        <v>2565819.5</v>
      </c>
      <c r="R210" s="137">
        <f>I210+I211+I212+I213+I214+I215+I216+I217+I218+I219+I221</f>
        <v>3130686.5857627122</v>
      </c>
      <c r="S210" s="137">
        <f>R210-P210</f>
        <v>956263.28067796631</v>
      </c>
      <c r="T210" t="s">
        <v>2291</v>
      </c>
    </row>
    <row r="211" spans="1:20" ht="24.75" x14ac:dyDescent="0.25">
      <c r="A211" s="448"/>
      <c r="B211" s="484"/>
      <c r="C211" s="506"/>
      <c r="D211" s="493"/>
      <c r="E211" s="493"/>
      <c r="F211" s="493"/>
      <c r="G211" s="217">
        <v>3871</v>
      </c>
      <c r="H211" s="221">
        <v>42488</v>
      </c>
      <c r="I211" s="200">
        <f>518165.95/1.18</f>
        <v>439123.68644067802</v>
      </c>
      <c r="J211" s="200">
        <f t="shared" si="60"/>
        <v>518165.95</v>
      </c>
      <c r="K211" s="216" t="s">
        <v>2457</v>
      </c>
      <c r="L211" s="222">
        <v>42451</v>
      </c>
      <c r="M211" s="200">
        <v>409120.62</v>
      </c>
      <c r="N211" s="200">
        <f>M211*1.18</f>
        <v>482762.33159999998</v>
      </c>
      <c r="O211" s="275"/>
      <c r="P211" s="200">
        <f t="shared" si="55"/>
        <v>409120.62</v>
      </c>
      <c r="Q211" s="200">
        <f t="shared" si="55"/>
        <v>482762.33159999998</v>
      </c>
      <c r="R211" s="169" t="s">
        <v>2231</v>
      </c>
      <c r="S211" s="135">
        <v>3336873.27</v>
      </c>
    </row>
    <row r="212" spans="1:20" ht="15.75" customHeight="1" x14ac:dyDescent="0.25">
      <c r="A212" s="448"/>
      <c r="B212" s="484"/>
      <c r="C212" s="506"/>
      <c r="D212" s="493"/>
      <c r="E212" s="493"/>
      <c r="F212" s="493"/>
      <c r="G212" s="217">
        <v>4377</v>
      </c>
      <c r="H212" s="221">
        <v>42506</v>
      </c>
      <c r="I212" s="200">
        <f>68824.46/1.18</f>
        <v>58325.813559322043</v>
      </c>
      <c r="J212" s="200">
        <f t="shared" si="60"/>
        <v>68824.460000000006</v>
      </c>
      <c r="K212" s="216"/>
      <c r="L212" s="222"/>
      <c r="M212" s="200"/>
      <c r="N212" s="200">
        <f t="shared" ref="N212:N218" si="61">M212*1.18</f>
        <v>0</v>
      </c>
      <c r="O212" s="275"/>
      <c r="P212" s="200">
        <f t="shared" si="55"/>
        <v>0</v>
      </c>
      <c r="Q212" s="200">
        <f t="shared" si="55"/>
        <v>0</v>
      </c>
      <c r="R212" s="137"/>
    </row>
    <row r="213" spans="1:20" ht="15.75" customHeight="1" x14ac:dyDescent="0.25">
      <c r="A213" s="448"/>
      <c r="B213" s="484"/>
      <c r="C213" s="506"/>
      <c r="D213" s="493"/>
      <c r="E213" s="493"/>
      <c r="F213" s="493"/>
      <c r="G213" s="217">
        <v>4625</v>
      </c>
      <c r="H213" s="221">
        <v>42515</v>
      </c>
      <c r="I213" s="200">
        <f>526820.03/1.18</f>
        <v>446457.65254237293</v>
      </c>
      <c r="J213" s="200">
        <f t="shared" si="60"/>
        <v>526820.03</v>
      </c>
      <c r="K213" s="216"/>
      <c r="L213" s="222"/>
      <c r="M213" s="200"/>
      <c r="N213" s="200">
        <f t="shared" si="61"/>
        <v>0</v>
      </c>
      <c r="O213" s="275"/>
      <c r="P213" s="200">
        <f t="shared" si="55"/>
        <v>0</v>
      </c>
      <c r="Q213" s="200">
        <f t="shared" si="55"/>
        <v>0</v>
      </c>
      <c r="R213" s="137"/>
    </row>
    <row r="214" spans="1:20" ht="15.75" customHeight="1" x14ac:dyDescent="0.25">
      <c r="A214" s="448"/>
      <c r="B214" s="484"/>
      <c r="C214" s="506"/>
      <c r="D214" s="493"/>
      <c r="E214" s="493"/>
      <c r="F214" s="493"/>
      <c r="G214" s="217">
        <v>11888</v>
      </c>
      <c r="H214" s="221">
        <v>42542</v>
      </c>
      <c r="I214" s="200">
        <f>96382.22/1.18</f>
        <v>81679.847457627126</v>
      </c>
      <c r="J214" s="200">
        <f t="shared" si="60"/>
        <v>96382.22</v>
      </c>
      <c r="K214" s="216"/>
      <c r="L214" s="222"/>
      <c r="M214" s="225"/>
      <c r="N214" s="200">
        <f t="shared" si="61"/>
        <v>0</v>
      </c>
      <c r="O214" s="275"/>
      <c r="P214" s="200">
        <f t="shared" si="55"/>
        <v>0</v>
      </c>
      <c r="Q214" s="200">
        <f t="shared" si="55"/>
        <v>0</v>
      </c>
      <c r="R214" s="137"/>
    </row>
    <row r="215" spans="1:20" ht="15.75" customHeight="1" x14ac:dyDescent="0.25">
      <c r="A215" s="448"/>
      <c r="B215" s="484"/>
      <c r="C215" s="506"/>
      <c r="D215" s="493"/>
      <c r="E215" s="493"/>
      <c r="F215" s="493"/>
      <c r="G215" s="217">
        <v>11886</v>
      </c>
      <c r="H215" s="221">
        <v>42542</v>
      </c>
      <c r="I215" s="200">
        <f>510982.76/1.18</f>
        <v>433036.23728813563</v>
      </c>
      <c r="J215" s="200">
        <f t="shared" si="60"/>
        <v>510982.76</v>
      </c>
      <c r="K215" s="216"/>
      <c r="L215" s="222"/>
      <c r="M215" s="225"/>
      <c r="N215" s="200">
        <f t="shared" si="61"/>
        <v>0</v>
      </c>
      <c r="O215" s="275"/>
      <c r="P215" s="200">
        <f t="shared" si="55"/>
        <v>0</v>
      </c>
      <c r="Q215" s="200">
        <f t="shared" si="55"/>
        <v>0</v>
      </c>
      <c r="R215" s="137"/>
    </row>
    <row r="216" spans="1:20" ht="15.75" customHeight="1" x14ac:dyDescent="0.25">
      <c r="A216" s="448"/>
      <c r="B216" s="484"/>
      <c r="C216" s="506"/>
      <c r="D216" s="493"/>
      <c r="E216" s="493"/>
      <c r="F216" s="493"/>
      <c r="G216" s="217">
        <v>12717</v>
      </c>
      <c r="H216" s="221">
        <v>42565</v>
      </c>
      <c r="I216" s="200">
        <f>93440.27/1.18</f>
        <v>79186.669491525434</v>
      </c>
      <c r="J216" s="200">
        <f t="shared" si="60"/>
        <v>93440.27</v>
      </c>
      <c r="K216" s="216"/>
      <c r="L216" s="222"/>
      <c r="M216" s="225"/>
      <c r="N216" s="200">
        <f t="shared" si="61"/>
        <v>0</v>
      </c>
      <c r="O216" s="275"/>
      <c r="P216" s="200">
        <f t="shared" si="55"/>
        <v>0</v>
      </c>
      <c r="Q216" s="200">
        <f t="shared" si="55"/>
        <v>0</v>
      </c>
      <c r="R216" s="137"/>
    </row>
    <row r="217" spans="1:20" ht="15.75" customHeight="1" x14ac:dyDescent="0.25">
      <c r="A217" s="448"/>
      <c r="B217" s="484"/>
      <c r="C217" s="506"/>
      <c r="D217" s="493"/>
      <c r="E217" s="493"/>
      <c r="F217" s="493"/>
      <c r="G217" s="217">
        <v>13125</v>
      </c>
      <c r="H217" s="221">
        <v>42572</v>
      </c>
      <c r="I217" s="200">
        <f>489340.53/1.18</f>
        <v>414695.3644067797</v>
      </c>
      <c r="J217" s="200">
        <f t="shared" si="60"/>
        <v>489340.53</v>
      </c>
      <c r="K217" s="216"/>
      <c r="L217" s="222"/>
      <c r="M217" s="225"/>
      <c r="N217" s="200">
        <f t="shared" si="61"/>
        <v>0</v>
      </c>
      <c r="O217" s="275"/>
      <c r="P217" s="200">
        <f t="shared" si="55"/>
        <v>0</v>
      </c>
      <c r="Q217" s="200">
        <f t="shared" si="55"/>
        <v>0</v>
      </c>
      <c r="R217" s="137"/>
    </row>
    <row r="218" spans="1:20" ht="15.75" customHeight="1" x14ac:dyDescent="0.25">
      <c r="A218" s="449"/>
      <c r="B218" s="467"/>
      <c r="C218" s="505"/>
      <c r="D218" s="489"/>
      <c r="E218" s="489"/>
      <c r="F218" s="489"/>
      <c r="G218" s="217">
        <v>14773</v>
      </c>
      <c r="H218" s="221">
        <v>42620</v>
      </c>
      <c r="I218" s="200">
        <f>191664.47/1.18</f>
        <v>162427.51694915254</v>
      </c>
      <c r="J218" s="200">
        <f t="shared" si="60"/>
        <v>191664.47</v>
      </c>
      <c r="K218" s="216"/>
      <c r="L218" s="222"/>
      <c r="M218" s="225"/>
      <c r="N218" s="200">
        <f t="shared" si="61"/>
        <v>0</v>
      </c>
      <c r="O218" s="275"/>
      <c r="P218" s="200">
        <f t="shared" si="55"/>
        <v>0</v>
      </c>
      <c r="Q218" s="200">
        <f t="shared" si="55"/>
        <v>0</v>
      </c>
      <c r="R218" s="137"/>
    </row>
    <row r="219" spans="1:20" ht="47.25" customHeight="1" x14ac:dyDescent="0.25">
      <c r="A219" s="447"/>
      <c r="B219" s="466" t="s">
        <v>2410</v>
      </c>
      <c r="C219" s="488" t="s">
        <v>2219</v>
      </c>
      <c r="D219" s="488" t="s">
        <v>830</v>
      </c>
      <c r="E219" s="488"/>
      <c r="F219" s="472">
        <f>J219</f>
        <v>448000</v>
      </c>
      <c r="G219" s="490">
        <v>4376</v>
      </c>
      <c r="H219" s="494">
        <v>42506</v>
      </c>
      <c r="I219" s="474">
        <f>448000/1.18</f>
        <v>379661.01694915257</v>
      </c>
      <c r="J219" s="474">
        <f t="shared" si="60"/>
        <v>448000</v>
      </c>
      <c r="K219" s="216">
        <v>109</v>
      </c>
      <c r="L219" s="222">
        <v>42507</v>
      </c>
      <c r="M219" s="225">
        <f>338000</f>
        <v>338000</v>
      </c>
      <c r="N219" s="225">
        <f>M219</f>
        <v>338000</v>
      </c>
      <c r="O219" s="275"/>
      <c r="P219" s="200">
        <f t="shared" si="55"/>
        <v>338000</v>
      </c>
      <c r="Q219" s="200">
        <f t="shared" si="55"/>
        <v>338000</v>
      </c>
      <c r="R219" s="137"/>
    </row>
    <row r="220" spans="1:20" ht="15.75" customHeight="1" x14ac:dyDescent="0.25">
      <c r="A220" s="449"/>
      <c r="B220" s="467"/>
      <c r="C220" s="489"/>
      <c r="D220" s="489"/>
      <c r="E220" s="489"/>
      <c r="F220" s="473"/>
      <c r="G220" s="491"/>
      <c r="H220" s="495"/>
      <c r="I220" s="475"/>
      <c r="J220" s="475"/>
      <c r="K220" s="216">
        <v>139</v>
      </c>
      <c r="L220" s="222">
        <v>42530</v>
      </c>
      <c r="M220" s="225">
        <f>110000</f>
        <v>110000</v>
      </c>
      <c r="N220" s="225">
        <f>M220*1.18</f>
        <v>129800</v>
      </c>
      <c r="O220" s="275"/>
      <c r="P220" s="200">
        <f t="shared" si="55"/>
        <v>110000</v>
      </c>
      <c r="Q220" s="200">
        <f t="shared" si="55"/>
        <v>129800</v>
      </c>
      <c r="R220" s="137"/>
    </row>
    <row r="221" spans="1:20" ht="47.25" x14ac:dyDescent="0.25">
      <c r="A221" s="304"/>
      <c r="B221" s="319" t="s">
        <v>2695</v>
      </c>
      <c r="C221" s="320"/>
      <c r="D221" s="320"/>
      <c r="E221" s="220"/>
      <c r="F221" s="223"/>
      <c r="G221" s="217"/>
      <c r="H221" s="221"/>
      <c r="I221" s="200">
        <v>305329.33999999997</v>
      </c>
      <c r="J221" s="200">
        <f>I221</f>
        <v>305329.33999999997</v>
      </c>
      <c r="K221" s="216"/>
      <c r="L221" s="222"/>
      <c r="M221" s="225">
        <f t="shared" ref="M221:N221" si="62">I221</f>
        <v>305329.33999999997</v>
      </c>
      <c r="N221" s="225">
        <f t="shared" si="62"/>
        <v>305329.33999999997</v>
      </c>
      <c r="O221" s="275"/>
      <c r="P221" s="200">
        <f t="shared" si="55"/>
        <v>305329.33999999997</v>
      </c>
      <c r="Q221" s="200">
        <f t="shared" si="55"/>
        <v>305329.33999999997</v>
      </c>
      <c r="R221" s="137"/>
    </row>
    <row r="222" spans="1:20" ht="15.75" customHeight="1" x14ac:dyDescent="0.25">
      <c r="A222" s="447"/>
      <c r="B222" s="466" t="s">
        <v>2719</v>
      </c>
      <c r="C222" s="488" t="s">
        <v>2735</v>
      </c>
      <c r="D222" s="488" t="s">
        <v>2598</v>
      </c>
      <c r="E222" s="488"/>
      <c r="F222" s="472">
        <v>840501</v>
      </c>
      <c r="G222" s="217">
        <v>18421</v>
      </c>
      <c r="H222" s="221">
        <v>42283</v>
      </c>
      <c r="I222" s="200">
        <f>420250.5/1.18</f>
        <v>356144.49152542377</v>
      </c>
      <c r="J222" s="200">
        <f t="shared" si="60"/>
        <v>420250.5</v>
      </c>
      <c r="K222" s="468" t="s">
        <v>2458</v>
      </c>
      <c r="L222" s="470">
        <v>42289</v>
      </c>
      <c r="M222" s="478">
        <f>I222+I223</f>
        <v>712288.98305084754</v>
      </c>
      <c r="N222" s="478">
        <f>J222+J223</f>
        <v>840501</v>
      </c>
      <c r="O222" s="501"/>
      <c r="P222" s="474">
        <f>M222</f>
        <v>712288.98305084754</v>
      </c>
      <c r="Q222" s="474">
        <f>N222</f>
        <v>840501</v>
      </c>
      <c r="R222" s="137"/>
      <c r="S222" s="135">
        <v>781430.59</v>
      </c>
    </row>
    <row r="223" spans="1:20" ht="15.75" customHeight="1" x14ac:dyDescent="0.25">
      <c r="A223" s="449"/>
      <c r="B223" s="484"/>
      <c r="C223" s="489"/>
      <c r="D223" s="489"/>
      <c r="E223" s="489"/>
      <c r="F223" s="473"/>
      <c r="G223" s="217">
        <v>18604</v>
      </c>
      <c r="H223" s="221">
        <v>42289</v>
      </c>
      <c r="I223" s="200">
        <f>420250.5/1.18</f>
        <v>356144.49152542377</v>
      </c>
      <c r="J223" s="200">
        <f t="shared" si="60"/>
        <v>420250.5</v>
      </c>
      <c r="K223" s="469"/>
      <c r="L223" s="471"/>
      <c r="M223" s="480"/>
      <c r="N223" s="480"/>
      <c r="O223" s="503"/>
      <c r="P223" s="475"/>
      <c r="Q223" s="475"/>
      <c r="R223" s="137"/>
    </row>
    <row r="224" spans="1:20" x14ac:dyDescent="0.25">
      <c r="A224" s="304"/>
      <c r="B224" s="219" t="s">
        <v>2267</v>
      </c>
      <c r="C224" s="329"/>
      <c r="D224" s="320"/>
      <c r="E224" s="220"/>
      <c r="F224" s="223"/>
      <c r="G224" s="217">
        <v>1091</v>
      </c>
      <c r="H224" s="221">
        <v>42300</v>
      </c>
      <c r="I224" s="200">
        <f>J224-102.32</f>
        <v>9479.6756000000005</v>
      </c>
      <c r="J224" s="200">
        <f>8911.26+568.42*1.18</f>
        <v>9581.9956000000002</v>
      </c>
      <c r="K224" s="216">
        <v>563412</v>
      </c>
      <c r="L224" s="222">
        <v>41872</v>
      </c>
      <c r="M224" s="225">
        <f t="shared" ref="M224:N225" si="63">I224</f>
        <v>9479.6756000000005</v>
      </c>
      <c r="N224" s="225">
        <f t="shared" si="63"/>
        <v>9581.9956000000002</v>
      </c>
      <c r="O224" s="275"/>
      <c r="P224" s="200">
        <f t="shared" ref="P224:Q225" si="64">M224</f>
        <v>9479.6756000000005</v>
      </c>
      <c r="Q224" s="200">
        <f t="shared" si="64"/>
        <v>9581.9956000000002</v>
      </c>
      <c r="R224" s="137"/>
    </row>
    <row r="225" spans="1:19" ht="31.5" x14ac:dyDescent="0.25">
      <c r="A225" s="304"/>
      <c r="B225" s="219" t="s">
        <v>2696</v>
      </c>
      <c r="C225" s="329"/>
      <c r="D225" s="320"/>
      <c r="E225" s="220"/>
      <c r="F225" s="223"/>
      <c r="G225" s="217"/>
      <c r="H225" s="221"/>
      <c r="I225" s="200">
        <f>8567.95+51093.98</f>
        <v>59661.930000000008</v>
      </c>
      <c r="J225" s="200">
        <f>I225</f>
        <v>59661.930000000008</v>
      </c>
      <c r="K225" s="216"/>
      <c r="L225" s="222"/>
      <c r="M225" s="225">
        <f t="shared" si="63"/>
        <v>59661.930000000008</v>
      </c>
      <c r="N225" s="225">
        <f t="shared" si="63"/>
        <v>59661.930000000008</v>
      </c>
      <c r="O225" s="275"/>
      <c r="P225" s="200">
        <f t="shared" si="64"/>
        <v>59661.930000000008</v>
      </c>
      <c r="Q225" s="200">
        <f t="shared" si="64"/>
        <v>59661.930000000008</v>
      </c>
      <c r="R225" s="137"/>
    </row>
    <row r="226" spans="1:19" ht="15.75" customHeight="1" x14ac:dyDescent="0.25">
      <c r="A226" s="447"/>
      <c r="B226" s="484" t="s">
        <v>2697</v>
      </c>
      <c r="C226" s="504" t="s">
        <v>2600</v>
      </c>
      <c r="D226" s="488" t="s">
        <v>2599</v>
      </c>
      <c r="E226" s="488"/>
      <c r="F226" s="472"/>
      <c r="G226" s="217">
        <v>29323</v>
      </c>
      <c r="H226" s="221">
        <v>42796</v>
      </c>
      <c r="I226" s="200">
        <f>201827.1/1.18</f>
        <v>171039.9152542373</v>
      </c>
      <c r="J226" s="200">
        <f t="shared" si="60"/>
        <v>201827.1</v>
      </c>
      <c r="K226" s="468" t="s">
        <v>2459</v>
      </c>
      <c r="L226" s="470">
        <v>42908</v>
      </c>
      <c r="M226" s="225">
        <f>I226</f>
        <v>171039.9152542373</v>
      </c>
      <c r="N226" s="225">
        <f>J226</f>
        <v>201827.1</v>
      </c>
      <c r="O226" s="275"/>
      <c r="P226" s="200">
        <f>M226</f>
        <v>171039.9152542373</v>
      </c>
      <c r="Q226" s="200">
        <f>N226</f>
        <v>201827.1</v>
      </c>
      <c r="R226" s="137"/>
      <c r="S226" s="135">
        <v>570133.05000000005</v>
      </c>
    </row>
    <row r="227" spans="1:19" ht="15.75" customHeight="1" x14ac:dyDescent="0.25">
      <c r="A227" s="448"/>
      <c r="B227" s="484"/>
      <c r="C227" s="506"/>
      <c r="D227" s="493"/>
      <c r="E227" s="493"/>
      <c r="F227" s="485"/>
      <c r="G227" s="217">
        <v>31678</v>
      </c>
      <c r="H227" s="221">
        <v>42858</v>
      </c>
      <c r="I227" s="200">
        <f>70929.9/1.18</f>
        <v>60110.08474576271</v>
      </c>
      <c r="J227" s="200">
        <f t="shared" si="60"/>
        <v>70929.899999999994</v>
      </c>
      <c r="K227" s="476"/>
      <c r="L227" s="477"/>
      <c r="M227" s="225">
        <f t="shared" ref="M227:N232" si="65">I227</f>
        <v>60110.08474576271</v>
      </c>
      <c r="N227" s="225">
        <f t="shared" si="65"/>
        <v>70929.899999999994</v>
      </c>
      <c r="O227" s="275"/>
      <c r="P227" s="200">
        <f t="shared" ref="P227:Q232" si="66">M227</f>
        <v>60110.08474576271</v>
      </c>
      <c r="Q227" s="200">
        <f t="shared" si="66"/>
        <v>70929.899999999994</v>
      </c>
      <c r="R227" s="137"/>
    </row>
    <row r="228" spans="1:19" ht="15.75" customHeight="1" x14ac:dyDescent="0.25">
      <c r="A228" s="448"/>
      <c r="B228" s="484"/>
      <c r="C228" s="506"/>
      <c r="D228" s="493"/>
      <c r="E228" s="493"/>
      <c r="F228" s="485"/>
      <c r="G228" s="217">
        <v>31694</v>
      </c>
      <c r="H228" s="221">
        <v>42859</v>
      </c>
      <c r="I228" s="200">
        <f>100000/1.18</f>
        <v>84745.762711864416</v>
      </c>
      <c r="J228" s="200">
        <f t="shared" si="60"/>
        <v>100000</v>
      </c>
      <c r="K228" s="476"/>
      <c r="L228" s="477"/>
      <c r="M228" s="225">
        <f t="shared" si="65"/>
        <v>84745.762711864416</v>
      </c>
      <c r="N228" s="225">
        <f t="shared" si="65"/>
        <v>100000</v>
      </c>
      <c r="O228" s="275"/>
      <c r="P228" s="200">
        <f t="shared" si="66"/>
        <v>84745.762711864416</v>
      </c>
      <c r="Q228" s="200">
        <f t="shared" si="66"/>
        <v>100000</v>
      </c>
      <c r="R228" s="137"/>
    </row>
    <row r="229" spans="1:19" ht="15.75" customHeight="1" x14ac:dyDescent="0.25">
      <c r="A229" s="448"/>
      <c r="B229" s="484"/>
      <c r="C229" s="506"/>
      <c r="D229" s="493"/>
      <c r="E229" s="493"/>
      <c r="F229" s="485"/>
      <c r="G229" s="217">
        <v>32005</v>
      </c>
      <c r="H229" s="221">
        <v>42867</v>
      </c>
      <c r="I229" s="200">
        <f>50000/1.18</f>
        <v>42372.881355932208</v>
      </c>
      <c r="J229" s="200">
        <f t="shared" si="60"/>
        <v>50000</v>
      </c>
      <c r="K229" s="476"/>
      <c r="L229" s="477"/>
      <c r="M229" s="225">
        <f t="shared" si="65"/>
        <v>42372.881355932208</v>
      </c>
      <c r="N229" s="225">
        <f t="shared" si="65"/>
        <v>50000</v>
      </c>
      <c r="O229" s="275"/>
      <c r="P229" s="200">
        <f t="shared" si="66"/>
        <v>42372.881355932208</v>
      </c>
      <c r="Q229" s="200">
        <f t="shared" si="66"/>
        <v>50000</v>
      </c>
      <c r="R229" s="137"/>
    </row>
    <row r="230" spans="1:19" ht="15.75" customHeight="1" x14ac:dyDescent="0.25">
      <c r="A230" s="448"/>
      <c r="B230" s="484"/>
      <c r="C230" s="506"/>
      <c r="D230" s="493"/>
      <c r="E230" s="493"/>
      <c r="F230" s="485"/>
      <c r="G230" s="217">
        <v>32160</v>
      </c>
      <c r="H230" s="221">
        <v>42872</v>
      </c>
      <c r="I230" s="200">
        <f>50000/1.18</f>
        <v>42372.881355932208</v>
      </c>
      <c r="J230" s="200">
        <f t="shared" si="60"/>
        <v>50000</v>
      </c>
      <c r="K230" s="476"/>
      <c r="L230" s="477"/>
      <c r="M230" s="225">
        <f t="shared" si="65"/>
        <v>42372.881355932208</v>
      </c>
      <c r="N230" s="225">
        <f t="shared" si="65"/>
        <v>50000</v>
      </c>
      <c r="O230" s="275"/>
      <c r="P230" s="200">
        <f t="shared" si="66"/>
        <v>42372.881355932208</v>
      </c>
      <c r="Q230" s="200">
        <f t="shared" si="66"/>
        <v>50000</v>
      </c>
      <c r="R230" s="137"/>
    </row>
    <row r="231" spans="1:19" ht="15.75" customHeight="1" x14ac:dyDescent="0.25">
      <c r="A231" s="448"/>
      <c r="B231" s="484"/>
      <c r="C231" s="506"/>
      <c r="D231" s="493"/>
      <c r="E231" s="493"/>
      <c r="F231" s="485"/>
      <c r="G231" s="217">
        <v>32822</v>
      </c>
      <c r="H231" s="221">
        <v>42887</v>
      </c>
      <c r="I231" s="200">
        <f>50000/1.18</f>
        <v>42372.881355932208</v>
      </c>
      <c r="J231" s="200">
        <f t="shared" si="60"/>
        <v>50000</v>
      </c>
      <c r="K231" s="476"/>
      <c r="L231" s="477"/>
      <c r="M231" s="225">
        <f t="shared" si="65"/>
        <v>42372.881355932208</v>
      </c>
      <c r="N231" s="225">
        <f t="shared" si="65"/>
        <v>50000</v>
      </c>
      <c r="O231" s="275"/>
      <c r="P231" s="200">
        <f t="shared" si="66"/>
        <v>42372.881355932208</v>
      </c>
      <c r="Q231" s="200">
        <f t="shared" si="66"/>
        <v>50000</v>
      </c>
      <c r="R231" s="137"/>
    </row>
    <row r="232" spans="1:19" ht="15.75" customHeight="1" x14ac:dyDescent="0.25">
      <c r="A232" s="449"/>
      <c r="B232" s="467"/>
      <c r="C232" s="505"/>
      <c r="D232" s="489"/>
      <c r="E232" s="489"/>
      <c r="F232" s="473"/>
      <c r="G232" s="217">
        <v>33731</v>
      </c>
      <c r="H232" s="221">
        <v>42909</v>
      </c>
      <c r="I232" s="200">
        <f>150000/1.18</f>
        <v>127118.64406779662</v>
      </c>
      <c r="J232" s="200">
        <f t="shared" si="60"/>
        <v>150000</v>
      </c>
      <c r="K232" s="469"/>
      <c r="L232" s="471"/>
      <c r="M232" s="225">
        <f t="shared" si="65"/>
        <v>127118.64406779662</v>
      </c>
      <c r="N232" s="225">
        <f t="shared" si="65"/>
        <v>150000</v>
      </c>
      <c r="O232" s="275"/>
      <c r="P232" s="200">
        <f t="shared" si="66"/>
        <v>127118.64406779662</v>
      </c>
      <c r="Q232" s="200">
        <f t="shared" si="66"/>
        <v>150000</v>
      </c>
      <c r="R232" s="137"/>
    </row>
    <row r="233" spans="1:19" ht="31.5" x14ac:dyDescent="0.25">
      <c r="A233" s="304"/>
      <c r="B233" s="219" t="s">
        <v>2698</v>
      </c>
      <c r="C233" s="228" t="s">
        <v>2215</v>
      </c>
      <c r="D233" s="346" t="s">
        <v>2214</v>
      </c>
      <c r="E233" s="220"/>
      <c r="F233" s="230"/>
      <c r="G233" s="217">
        <v>71</v>
      </c>
      <c r="H233" s="221">
        <v>42865</v>
      </c>
      <c r="I233" s="200">
        <v>513918.4</v>
      </c>
      <c r="J233" s="200">
        <f>I233</f>
        <v>513918.4</v>
      </c>
      <c r="K233" s="216" t="s">
        <v>2536</v>
      </c>
      <c r="L233" s="222">
        <v>42849</v>
      </c>
      <c r="M233" s="225">
        <f>I233</f>
        <v>513918.4</v>
      </c>
      <c r="N233" s="200">
        <f>M233*1.18</f>
        <v>606423.71199999994</v>
      </c>
      <c r="O233" s="276"/>
      <c r="P233" s="200">
        <f t="shared" si="55"/>
        <v>513918.4</v>
      </c>
      <c r="Q233" s="200">
        <f t="shared" si="55"/>
        <v>606423.71199999994</v>
      </c>
      <c r="R233" s="137">
        <f>I233+I234+I235-M233</f>
        <v>222406.01988074579</v>
      </c>
      <c r="S233" s="135">
        <v>707574.36</v>
      </c>
    </row>
    <row r="234" spans="1:19" x14ac:dyDescent="0.25">
      <c r="A234" s="304"/>
      <c r="B234" s="219" t="s">
        <v>2268</v>
      </c>
      <c r="C234" s="228" t="s">
        <v>2220</v>
      </c>
      <c r="D234" s="312" t="s">
        <v>1158</v>
      </c>
      <c r="E234" s="220"/>
      <c r="F234" s="231"/>
      <c r="G234" s="217">
        <v>31716</v>
      </c>
      <c r="H234" s="221">
        <v>42859</v>
      </c>
      <c r="I234" s="200">
        <f>99000/1.18</f>
        <v>83898.305084745763</v>
      </c>
      <c r="J234" s="200">
        <f>I234*1.18</f>
        <v>99000</v>
      </c>
      <c r="K234" s="216">
        <v>105</v>
      </c>
      <c r="L234" s="222">
        <v>42880</v>
      </c>
      <c r="M234" s="225">
        <f>9000/1.18</f>
        <v>7627.1186440677966</v>
      </c>
      <c r="N234" s="200">
        <f t="shared" ref="N234:N237" si="67">M234*1.18</f>
        <v>9000</v>
      </c>
      <c r="O234" s="276"/>
      <c r="P234" s="200">
        <f t="shared" si="55"/>
        <v>7627.1186440677966</v>
      </c>
      <c r="Q234" s="200">
        <f t="shared" si="55"/>
        <v>9000</v>
      </c>
      <c r="R234" s="137"/>
    </row>
    <row r="235" spans="1:19" x14ac:dyDescent="0.25">
      <c r="A235" s="304"/>
      <c r="B235" s="219" t="s">
        <v>2269</v>
      </c>
      <c r="C235" s="228"/>
      <c r="D235" s="346"/>
      <c r="E235" s="220"/>
      <c r="F235" s="345"/>
      <c r="G235" s="217">
        <v>76</v>
      </c>
      <c r="H235" s="221">
        <v>42881</v>
      </c>
      <c r="I235" s="200">
        <f>2201.32*62.9203</f>
        <v>138507.71479600001</v>
      </c>
      <c r="J235" s="200">
        <f>I235</f>
        <v>138507.71479600001</v>
      </c>
      <c r="K235" s="216">
        <v>3327</v>
      </c>
      <c r="L235" s="222">
        <v>42878</v>
      </c>
      <c r="M235" s="225">
        <f>I235</f>
        <v>138507.71479600001</v>
      </c>
      <c r="N235" s="200">
        <f t="shared" si="67"/>
        <v>163439.10345928001</v>
      </c>
      <c r="O235" s="276"/>
      <c r="P235" s="200">
        <f t="shared" si="55"/>
        <v>138507.71479600001</v>
      </c>
      <c r="Q235" s="200">
        <f t="shared" si="55"/>
        <v>163439.10345928001</v>
      </c>
      <c r="R235" s="137"/>
    </row>
    <row r="236" spans="1:19" ht="28.5" customHeight="1" x14ac:dyDescent="0.25">
      <c r="A236" s="447"/>
      <c r="B236" s="466" t="s">
        <v>2264</v>
      </c>
      <c r="C236" s="506"/>
      <c r="D236" s="311"/>
      <c r="E236" s="493"/>
      <c r="F236" s="326"/>
      <c r="G236" s="217">
        <v>32428</v>
      </c>
      <c r="H236" s="221">
        <v>42879</v>
      </c>
      <c r="I236" s="200">
        <v>150000</v>
      </c>
      <c r="J236" s="200">
        <f>I236</f>
        <v>150000</v>
      </c>
      <c r="K236" s="216" t="s">
        <v>2537</v>
      </c>
      <c r="L236" s="222" t="s">
        <v>2538</v>
      </c>
      <c r="M236" s="225">
        <f>(46021.13+1500)</f>
        <v>47521.13</v>
      </c>
      <c r="N236" s="200">
        <f t="shared" si="67"/>
        <v>56074.933399999994</v>
      </c>
      <c r="O236" s="277"/>
      <c r="P236" s="200">
        <f t="shared" si="55"/>
        <v>47521.13</v>
      </c>
      <c r="Q236" s="200">
        <f t="shared" si="55"/>
        <v>56074.933399999994</v>
      </c>
      <c r="R236" s="137"/>
    </row>
    <row r="237" spans="1:19" ht="15.75" customHeight="1" x14ac:dyDescent="0.25">
      <c r="A237" s="449"/>
      <c r="B237" s="467"/>
      <c r="C237" s="505"/>
      <c r="D237" s="311"/>
      <c r="E237" s="489"/>
      <c r="F237" s="326"/>
      <c r="G237" s="217">
        <v>32429</v>
      </c>
      <c r="H237" s="221">
        <v>42879</v>
      </c>
      <c r="I237" s="200">
        <v>500000</v>
      </c>
      <c r="J237" s="200">
        <f>I237</f>
        <v>500000</v>
      </c>
      <c r="K237" s="216"/>
      <c r="L237" s="222"/>
      <c r="M237" s="225"/>
      <c r="N237" s="200">
        <f t="shared" si="67"/>
        <v>0</v>
      </c>
      <c r="O237" s="277"/>
      <c r="P237" s="200">
        <f t="shared" si="55"/>
        <v>0</v>
      </c>
      <c r="Q237" s="200">
        <f t="shared" si="55"/>
        <v>0</v>
      </c>
      <c r="R237" s="137"/>
    </row>
    <row r="238" spans="1:19" s="7" customFormat="1" ht="31.5" x14ac:dyDescent="0.25">
      <c r="A238" s="304"/>
      <c r="B238" s="319" t="s">
        <v>2699</v>
      </c>
      <c r="C238" s="329" t="s">
        <v>2212</v>
      </c>
      <c r="D238" s="320" t="s">
        <v>2213</v>
      </c>
      <c r="E238" s="220"/>
      <c r="F238" s="223"/>
      <c r="G238" s="217">
        <v>53035</v>
      </c>
      <c r="H238" s="221">
        <v>43032</v>
      </c>
      <c r="I238" s="200">
        <f>239150.72/1.18</f>
        <v>202670.10169491527</v>
      </c>
      <c r="J238" s="200">
        <f>I238*1.18</f>
        <v>239150.72</v>
      </c>
      <c r="K238" s="346" t="s">
        <v>2460</v>
      </c>
      <c r="L238" s="222">
        <v>43034</v>
      </c>
      <c r="M238" s="324">
        <v>202670.1</v>
      </c>
      <c r="N238" s="316">
        <f t="shared" ref="N238" si="68">J238</f>
        <v>239150.72</v>
      </c>
      <c r="O238" s="321"/>
      <c r="P238" s="200">
        <f t="shared" si="55"/>
        <v>202670.1</v>
      </c>
      <c r="Q238" s="200">
        <f t="shared" si="55"/>
        <v>239150.72</v>
      </c>
      <c r="R238" s="139"/>
    </row>
    <row r="239" spans="1:19" ht="15.75" customHeight="1" x14ac:dyDescent="0.25">
      <c r="A239" s="447"/>
      <c r="B239" s="466" t="s">
        <v>2270</v>
      </c>
      <c r="C239" s="488">
        <v>71</v>
      </c>
      <c r="D239" s="488" t="s">
        <v>2601</v>
      </c>
      <c r="E239" s="488"/>
      <c r="F239" s="472"/>
      <c r="G239" s="217">
        <v>33714</v>
      </c>
      <c r="H239" s="221">
        <v>42908</v>
      </c>
      <c r="I239" s="200">
        <f>195000/1.18</f>
        <v>165254.2372881356</v>
      </c>
      <c r="J239" s="200">
        <f>I239*1.18</f>
        <v>195000</v>
      </c>
      <c r="K239" s="468">
        <v>67</v>
      </c>
      <c r="L239" s="470">
        <v>42951</v>
      </c>
      <c r="M239" s="478">
        <f>I239+I240</f>
        <v>330508.4745762712</v>
      </c>
      <c r="N239" s="478">
        <f>J239+J240</f>
        <v>390000</v>
      </c>
      <c r="O239" s="501"/>
      <c r="P239" s="474">
        <f>M239</f>
        <v>330508.4745762712</v>
      </c>
      <c r="Q239" s="474">
        <f>N239</f>
        <v>390000</v>
      </c>
      <c r="R239" s="137"/>
      <c r="S239" s="135">
        <v>335128.15000000002</v>
      </c>
    </row>
    <row r="240" spans="1:19" ht="15.75" customHeight="1" x14ac:dyDescent="0.25">
      <c r="A240" s="449"/>
      <c r="B240" s="467"/>
      <c r="C240" s="489"/>
      <c r="D240" s="489"/>
      <c r="E240" s="489"/>
      <c r="F240" s="473"/>
      <c r="G240" s="217">
        <v>39963</v>
      </c>
      <c r="H240" s="221">
        <v>42947</v>
      </c>
      <c r="I240" s="200">
        <f>195000/1.18</f>
        <v>165254.2372881356</v>
      </c>
      <c r="J240" s="200">
        <f>I240*1.18</f>
        <v>195000</v>
      </c>
      <c r="K240" s="469"/>
      <c r="L240" s="471"/>
      <c r="M240" s="480"/>
      <c r="N240" s="480"/>
      <c r="O240" s="503"/>
      <c r="P240" s="475"/>
      <c r="Q240" s="475"/>
      <c r="R240" s="137"/>
    </row>
    <row r="241" spans="1:20" ht="31.5" x14ac:dyDescent="0.25">
      <c r="A241" s="215"/>
      <c r="B241" s="219" t="s">
        <v>2700</v>
      </c>
      <c r="C241" s="228"/>
      <c r="D241" s="346"/>
      <c r="E241" s="220"/>
      <c r="F241" s="230"/>
      <c r="G241" s="217"/>
      <c r="H241" s="221"/>
      <c r="I241" s="200">
        <v>4619.68</v>
      </c>
      <c r="J241" s="200">
        <f>I241</f>
        <v>4619.68</v>
      </c>
      <c r="K241" s="216"/>
      <c r="L241" s="222"/>
      <c r="M241" s="225">
        <f t="shared" ref="M241:N241" si="69">I241</f>
        <v>4619.68</v>
      </c>
      <c r="N241" s="225">
        <f t="shared" si="69"/>
        <v>4619.68</v>
      </c>
      <c r="O241" s="275"/>
      <c r="P241" s="200">
        <f t="shared" ref="P241:Q241" si="70">M241</f>
        <v>4619.68</v>
      </c>
      <c r="Q241" s="200">
        <f t="shared" si="70"/>
        <v>4619.68</v>
      </c>
      <c r="R241" s="137"/>
    </row>
    <row r="242" spans="1:20" ht="31.5" customHeight="1" x14ac:dyDescent="0.25">
      <c r="A242" s="447"/>
      <c r="B242" s="466" t="s">
        <v>2320</v>
      </c>
      <c r="C242" s="468" t="s">
        <v>2605</v>
      </c>
      <c r="D242" s="488" t="s">
        <v>364</v>
      </c>
      <c r="E242" s="488"/>
      <c r="F242" s="472"/>
      <c r="G242" s="217">
        <v>31583</v>
      </c>
      <c r="H242" s="221">
        <v>42853</v>
      </c>
      <c r="I242" s="200">
        <f>613748.51/1.18</f>
        <v>520125.85593220341</v>
      </c>
      <c r="J242" s="200">
        <f>I242*1.18</f>
        <v>613748.51</v>
      </c>
      <c r="K242" s="468">
        <v>2896</v>
      </c>
      <c r="L242" s="470">
        <v>42873</v>
      </c>
      <c r="M242" s="474">
        <f>I242+I243</f>
        <v>1040251.7118644068</v>
      </c>
      <c r="N242" s="474">
        <f>M242*1.18</f>
        <v>1227497.02</v>
      </c>
      <c r="O242" s="501"/>
      <c r="P242" s="474">
        <f>M242</f>
        <v>1040251.7118644068</v>
      </c>
      <c r="Q242" s="474">
        <f>N242</f>
        <v>1227497.02</v>
      </c>
      <c r="R242" s="137">
        <f>SUM(M242:M307)</f>
        <v>64625152.133220337</v>
      </c>
      <c r="S242" s="138">
        <v>64625152.149999999</v>
      </c>
      <c r="T242" s="137"/>
    </row>
    <row r="243" spans="1:20" ht="15.75" customHeight="1" x14ac:dyDescent="0.25">
      <c r="A243" s="449"/>
      <c r="B243" s="467"/>
      <c r="C243" s="469"/>
      <c r="D243" s="489"/>
      <c r="E243" s="489"/>
      <c r="F243" s="473"/>
      <c r="G243" s="217">
        <v>29343</v>
      </c>
      <c r="H243" s="221">
        <v>42796</v>
      </c>
      <c r="I243" s="200">
        <f>613748.51/1.18</f>
        <v>520125.85593220341</v>
      </c>
      <c r="J243" s="200">
        <f>I243*1.18</f>
        <v>613748.51</v>
      </c>
      <c r="K243" s="469"/>
      <c r="L243" s="471"/>
      <c r="M243" s="475"/>
      <c r="N243" s="475"/>
      <c r="O243" s="503"/>
      <c r="P243" s="475"/>
      <c r="Q243" s="475"/>
      <c r="S243" s="166"/>
    </row>
    <row r="244" spans="1:20" ht="15.75" customHeight="1" x14ac:dyDescent="0.25">
      <c r="A244" s="447"/>
      <c r="B244" s="466" t="s">
        <v>2720</v>
      </c>
      <c r="C244" s="488" t="s">
        <v>2298</v>
      </c>
      <c r="D244" s="468" t="s">
        <v>2297</v>
      </c>
      <c r="E244" s="488"/>
      <c r="F244" s="472">
        <v>20175000</v>
      </c>
      <c r="G244" s="217">
        <v>18640</v>
      </c>
      <c r="H244" s="221" t="s">
        <v>2299</v>
      </c>
      <c r="I244" s="200">
        <f>350000/1.18</f>
        <v>296610.16949152545</v>
      </c>
      <c r="J244" s="200">
        <f t="shared" ref="J244:J252" si="71">I244*1.18</f>
        <v>350000</v>
      </c>
      <c r="K244" s="468">
        <v>44</v>
      </c>
      <c r="L244" s="470">
        <v>42919</v>
      </c>
      <c r="M244" s="474">
        <f>SUM(I244:I252)</f>
        <v>17097457.627118643</v>
      </c>
      <c r="N244" s="474">
        <f>SUM(J244:J252)</f>
        <v>20175000</v>
      </c>
      <c r="O244" s="501"/>
      <c r="P244" s="474">
        <f>M244</f>
        <v>17097457.627118643</v>
      </c>
      <c r="Q244" s="474">
        <f>N244</f>
        <v>20175000</v>
      </c>
      <c r="S244" s="166"/>
    </row>
    <row r="245" spans="1:20" ht="15.75" customHeight="1" x14ac:dyDescent="0.25">
      <c r="A245" s="448"/>
      <c r="B245" s="484"/>
      <c r="C245" s="493"/>
      <c r="D245" s="476"/>
      <c r="E245" s="493"/>
      <c r="F245" s="485"/>
      <c r="G245" s="217">
        <v>19460</v>
      </c>
      <c r="H245" s="221">
        <v>42732</v>
      </c>
      <c r="I245" s="200">
        <f>1000000/1.18</f>
        <v>847457.62711864407</v>
      </c>
      <c r="J245" s="200">
        <f t="shared" si="71"/>
        <v>1000000</v>
      </c>
      <c r="K245" s="476"/>
      <c r="L245" s="477"/>
      <c r="M245" s="496"/>
      <c r="N245" s="496"/>
      <c r="O245" s="502"/>
      <c r="P245" s="496"/>
      <c r="Q245" s="496"/>
      <c r="S245" s="166"/>
    </row>
    <row r="246" spans="1:20" ht="15.75" customHeight="1" x14ac:dyDescent="0.25">
      <c r="A246" s="448"/>
      <c r="B246" s="484"/>
      <c r="C246" s="493"/>
      <c r="D246" s="476"/>
      <c r="E246" s="493"/>
      <c r="F246" s="485"/>
      <c r="G246" s="217">
        <v>308</v>
      </c>
      <c r="H246" s="221">
        <v>42753</v>
      </c>
      <c r="I246" s="200">
        <f>5000000/1.18</f>
        <v>4237288.1355932206</v>
      </c>
      <c r="J246" s="200">
        <f t="shared" si="71"/>
        <v>5000000</v>
      </c>
      <c r="K246" s="476"/>
      <c r="L246" s="477"/>
      <c r="M246" s="496"/>
      <c r="N246" s="496"/>
      <c r="O246" s="502"/>
      <c r="P246" s="496"/>
      <c r="Q246" s="496"/>
      <c r="S246" s="166"/>
    </row>
    <row r="247" spans="1:20" ht="15.75" customHeight="1" x14ac:dyDescent="0.25">
      <c r="A247" s="448"/>
      <c r="B247" s="484"/>
      <c r="C247" s="493"/>
      <c r="D247" s="476"/>
      <c r="E247" s="493"/>
      <c r="F247" s="485"/>
      <c r="G247" s="217">
        <v>29339</v>
      </c>
      <c r="H247" s="221">
        <v>42796</v>
      </c>
      <c r="I247" s="200">
        <f>5000000/1.18</f>
        <v>4237288.1355932206</v>
      </c>
      <c r="J247" s="200">
        <f t="shared" si="71"/>
        <v>5000000</v>
      </c>
      <c r="K247" s="476"/>
      <c r="L247" s="477"/>
      <c r="M247" s="496"/>
      <c r="N247" s="496"/>
      <c r="O247" s="502"/>
      <c r="P247" s="496"/>
      <c r="Q247" s="496"/>
      <c r="S247" s="166"/>
    </row>
    <row r="248" spans="1:20" ht="15.75" customHeight="1" x14ac:dyDescent="0.25">
      <c r="A248" s="448"/>
      <c r="B248" s="484"/>
      <c r="C248" s="493"/>
      <c r="D248" s="476"/>
      <c r="E248" s="493"/>
      <c r="F248" s="485"/>
      <c r="G248" s="217">
        <v>31070</v>
      </c>
      <c r="H248" s="221" t="s">
        <v>2300</v>
      </c>
      <c r="I248" s="200">
        <f>6325000/1.18</f>
        <v>5360169.4915254237</v>
      </c>
      <c r="J248" s="200">
        <f t="shared" si="71"/>
        <v>6325000</v>
      </c>
      <c r="K248" s="476"/>
      <c r="L248" s="477"/>
      <c r="M248" s="496"/>
      <c r="N248" s="496"/>
      <c r="O248" s="502"/>
      <c r="P248" s="496"/>
      <c r="Q248" s="496"/>
      <c r="S248" s="166"/>
    </row>
    <row r="249" spans="1:20" ht="15.75" customHeight="1" x14ac:dyDescent="0.25">
      <c r="A249" s="448"/>
      <c r="B249" s="484"/>
      <c r="C249" s="493"/>
      <c r="D249" s="476"/>
      <c r="E249" s="493"/>
      <c r="F249" s="485"/>
      <c r="G249" s="217">
        <v>52507</v>
      </c>
      <c r="H249" s="221" t="s">
        <v>2301</v>
      </c>
      <c r="I249" s="200">
        <f t="shared" ref="I249:I250" si="72">1000000/1.18</f>
        <v>847457.62711864407</v>
      </c>
      <c r="J249" s="200">
        <f t="shared" si="71"/>
        <v>1000000</v>
      </c>
      <c r="K249" s="476"/>
      <c r="L249" s="477"/>
      <c r="M249" s="496"/>
      <c r="N249" s="496"/>
      <c r="O249" s="502"/>
      <c r="P249" s="496"/>
      <c r="Q249" s="496"/>
      <c r="S249" s="166"/>
    </row>
    <row r="250" spans="1:20" ht="15.75" customHeight="1" x14ac:dyDescent="0.25">
      <c r="A250" s="448"/>
      <c r="B250" s="484"/>
      <c r="C250" s="493"/>
      <c r="D250" s="476"/>
      <c r="E250" s="493"/>
      <c r="F250" s="485"/>
      <c r="G250" s="217">
        <v>52559</v>
      </c>
      <c r="H250" s="221" t="s">
        <v>2302</v>
      </c>
      <c r="I250" s="200">
        <f t="shared" si="72"/>
        <v>847457.62711864407</v>
      </c>
      <c r="J250" s="200">
        <f t="shared" si="71"/>
        <v>1000000</v>
      </c>
      <c r="K250" s="476"/>
      <c r="L250" s="477"/>
      <c r="M250" s="496"/>
      <c r="N250" s="496"/>
      <c r="O250" s="502"/>
      <c r="P250" s="496"/>
      <c r="Q250" s="496"/>
      <c r="S250" s="166"/>
    </row>
    <row r="251" spans="1:20" ht="15.75" customHeight="1" x14ac:dyDescent="0.25">
      <c r="A251" s="448"/>
      <c r="B251" s="484"/>
      <c r="C251" s="493"/>
      <c r="D251" s="476"/>
      <c r="E251" s="493"/>
      <c r="F251" s="485"/>
      <c r="G251" s="217">
        <v>53413</v>
      </c>
      <c r="H251" s="221">
        <v>43039</v>
      </c>
      <c r="I251" s="200">
        <f>250000/1.18</f>
        <v>211864.40677966102</v>
      </c>
      <c r="J251" s="200">
        <f t="shared" si="71"/>
        <v>250000</v>
      </c>
      <c r="K251" s="476"/>
      <c r="L251" s="477"/>
      <c r="M251" s="496"/>
      <c r="N251" s="496"/>
      <c r="O251" s="502"/>
      <c r="P251" s="496"/>
      <c r="Q251" s="496"/>
      <c r="S251" s="166"/>
    </row>
    <row r="252" spans="1:20" ht="15.75" customHeight="1" x14ac:dyDescent="0.25">
      <c r="A252" s="449"/>
      <c r="B252" s="467"/>
      <c r="C252" s="489"/>
      <c r="D252" s="469"/>
      <c r="E252" s="489"/>
      <c r="F252" s="473"/>
      <c r="G252" s="217">
        <v>53540</v>
      </c>
      <c r="H252" s="221" t="s">
        <v>2303</v>
      </c>
      <c r="I252" s="200">
        <f>250000/1.18</f>
        <v>211864.40677966102</v>
      </c>
      <c r="J252" s="200">
        <f t="shared" si="71"/>
        <v>250000</v>
      </c>
      <c r="K252" s="469"/>
      <c r="L252" s="471"/>
      <c r="M252" s="475"/>
      <c r="N252" s="475"/>
      <c r="O252" s="503"/>
      <c r="P252" s="475"/>
      <c r="Q252" s="475"/>
      <c r="S252" s="166"/>
    </row>
    <row r="253" spans="1:20" ht="15" x14ac:dyDescent="0.25">
      <c r="A253" s="447"/>
      <c r="B253" s="466" t="s">
        <v>2321</v>
      </c>
      <c r="C253" s="468" t="s">
        <v>2607</v>
      </c>
      <c r="D253" s="488" t="s">
        <v>2606</v>
      </c>
      <c r="E253" s="488"/>
      <c r="F253" s="472"/>
      <c r="G253" s="217">
        <v>822</v>
      </c>
      <c r="H253" s="221">
        <v>42765</v>
      </c>
      <c r="I253" s="200">
        <f>1998000/1.18</f>
        <v>1693220.338983051</v>
      </c>
      <c r="J253" s="200">
        <f>I253*1.18</f>
        <v>1998000</v>
      </c>
      <c r="K253" s="468">
        <v>594</v>
      </c>
      <c r="L253" s="470">
        <v>42768</v>
      </c>
      <c r="M253" s="474">
        <f>3744000/1.18</f>
        <v>3172881.3559322036</v>
      </c>
      <c r="N253" s="474">
        <f>M253*1.18</f>
        <v>3744000</v>
      </c>
      <c r="O253" s="501"/>
      <c r="P253" s="474">
        <f>M253</f>
        <v>3172881.3559322036</v>
      </c>
      <c r="Q253" s="474">
        <f>N253</f>
        <v>3744000</v>
      </c>
      <c r="R253" s="137"/>
      <c r="S253" s="166"/>
    </row>
    <row r="254" spans="1:20" ht="31.5" customHeight="1" x14ac:dyDescent="0.25">
      <c r="A254" s="448"/>
      <c r="B254" s="484"/>
      <c r="C254" s="476"/>
      <c r="D254" s="493"/>
      <c r="E254" s="493"/>
      <c r="F254" s="485"/>
      <c r="G254" s="217">
        <v>13576</v>
      </c>
      <c r="H254" s="221">
        <v>42585</v>
      </c>
      <c r="I254" s="200">
        <f>1998000/1.18</f>
        <v>1693220.338983051</v>
      </c>
      <c r="J254" s="200">
        <f>I254*1.18</f>
        <v>1998000</v>
      </c>
      <c r="K254" s="469"/>
      <c r="L254" s="471"/>
      <c r="M254" s="475"/>
      <c r="N254" s="475"/>
      <c r="O254" s="503"/>
      <c r="P254" s="475"/>
      <c r="Q254" s="475"/>
      <c r="S254" s="166"/>
    </row>
    <row r="255" spans="1:20" s="69" customFormat="1" ht="15.75" customHeight="1" x14ac:dyDescent="0.25">
      <c r="A255" s="449"/>
      <c r="B255" s="467"/>
      <c r="C255" s="469"/>
      <c r="D255" s="489"/>
      <c r="E255" s="489"/>
      <c r="F255" s="473"/>
      <c r="G255" s="217">
        <v>53950</v>
      </c>
      <c r="H255" s="217" t="s">
        <v>2304</v>
      </c>
      <c r="I255" s="200">
        <f>592000/1.18</f>
        <v>501694.9152542373</v>
      </c>
      <c r="J255" s="200">
        <f>I255*1.18</f>
        <v>592000</v>
      </c>
      <c r="K255" s="216">
        <v>13090</v>
      </c>
      <c r="L255" s="222">
        <v>43082</v>
      </c>
      <c r="M255" s="200">
        <f>599800/1.18</f>
        <v>508305.08474576275</v>
      </c>
      <c r="N255" s="200">
        <f>M255*1.18</f>
        <v>599800</v>
      </c>
      <c r="O255" s="275"/>
      <c r="P255" s="316">
        <f t="shared" ref="P255:Q307" si="73">M255</f>
        <v>508305.08474576275</v>
      </c>
      <c r="Q255" s="316">
        <f t="shared" si="73"/>
        <v>599800</v>
      </c>
      <c r="S255" s="195"/>
    </row>
    <row r="256" spans="1:20" ht="15.75" customHeight="1" x14ac:dyDescent="0.25">
      <c r="A256" s="447"/>
      <c r="B256" s="466" t="s">
        <v>2314</v>
      </c>
      <c r="C256" s="468">
        <v>25</v>
      </c>
      <c r="D256" s="488" t="s">
        <v>544</v>
      </c>
      <c r="E256" s="488"/>
      <c r="F256" s="472">
        <v>190000</v>
      </c>
      <c r="G256" s="217">
        <v>13579</v>
      </c>
      <c r="H256" s="217" t="s">
        <v>2328</v>
      </c>
      <c r="I256" s="200">
        <f>95000/1.18</f>
        <v>80508.474576271197</v>
      </c>
      <c r="J256" s="200">
        <f>I256*1.18</f>
        <v>95000.000000000015</v>
      </c>
      <c r="K256" s="468">
        <v>52</v>
      </c>
      <c r="L256" s="470">
        <v>42662</v>
      </c>
      <c r="M256" s="474">
        <f>I256+I257</f>
        <v>161016.94915254239</v>
      </c>
      <c r="N256" s="474">
        <f>J256+J257</f>
        <v>190000.00000000003</v>
      </c>
      <c r="O256" s="501"/>
      <c r="P256" s="474">
        <f>M256</f>
        <v>161016.94915254239</v>
      </c>
      <c r="Q256" s="474">
        <f>N256</f>
        <v>190000.00000000003</v>
      </c>
      <c r="S256" s="166"/>
    </row>
    <row r="257" spans="1:19" ht="15.75" customHeight="1" x14ac:dyDescent="0.25">
      <c r="A257" s="449"/>
      <c r="B257" s="467"/>
      <c r="C257" s="469"/>
      <c r="D257" s="489"/>
      <c r="E257" s="489"/>
      <c r="F257" s="473"/>
      <c r="G257" s="217">
        <v>17107</v>
      </c>
      <c r="H257" s="217" t="s">
        <v>2329</v>
      </c>
      <c r="I257" s="200">
        <f>95000/1.18</f>
        <v>80508.474576271197</v>
      </c>
      <c r="J257" s="200">
        <f>I257*1.18</f>
        <v>95000.000000000015</v>
      </c>
      <c r="K257" s="469"/>
      <c r="L257" s="469"/>
      <c r="M257" s="475"/>
      <c r="N257" s="475"/>
      <c r="O257" s="503"/>
      <c r="P257" s="475"/>
      <c r="Q257" s="475"/>
      <c r="S257" s="166"/>
    </row>
    <row r="258" spans="1:19" ht="47.25" x14ac:dyDescent="0.25">
      <c r="A258" s="304"/>
      <c r="B258" s="319" t="s">
        <v>2305</v>
      </c>
      <c r="C258" s="315" t="s">
        <v>2331</v>
      </c>
      <c r="D258" s="320" t="s">
        <v>324</v>
      </c>
      <c r="E258" s="220"/>
      <c r="F258" s="223">
        <v>240000</v>
      </c>
      <c r="G258" s="217">
        <v>17099</v>
      </c>
      <c r="H258" s="221">
        <v>42676</v>
      </c>
      <c r="I258" s="225">
        <v>120000</v>
      </c>
      <c r="J258" s="225">
        <f>I258</f>
        <v>120000</v>
      </c>
      <c r="K258" s="216" t="s">
        <v>2390</v>
      </c>
      <c r="L258" s="222">
        <v>42693</v>
      </c>
      <c r="M258" s="200">
        <f t="shared" ref="M258:N260" si="74">I258</f>
        <v>120000</v>
      </c>
      <c r="N258" s="200">
        <f t="shared" si="74"/>
        <v>120000</v>
      </c>
      <c r="O258" s="275"/>
      <c r="P258" s="316">
        <f t="shared" si="73"/>
        <v>120000</v>
      </c>
      <c r="Q258" s="316">
        <f t="shared" si="73"/>
        <v>120000</v>
      </c>
      <c r="S258" s="166"/>
    </row>
    <row r="259" spans="1:19" ht="47.25" x14ac:dyDescent="0.25">
      <c r="A259" s="304"/>
      <c r="B259" s="319" t="s">
        <v>2306</v>
      </c>
      <c r="C259" s="315" t="s">
        <v>2330</v>
      </c>
      <c r="D259" s="320" t="s">
        <v>324</v>
      </c>
      <c r="E259" s="220"/>
      <c r="F259" s="223">
        <v>140000</v>
      </c>
      <c r="G259" s="217">
        <v>17098</v>
      </c>
      <c r="H259" s="221">
        <v>42676</v>
      </c>
      <c r="I259" s="225">
        <v>140000</v>
      </c>
      <c r="J259" s="225">
        <f t="shared" ref="J259:J261" si="75">I259</f>
        <v>140000</v>
      </c>
      <c r="K259" s="216" t="s">
        <v>2391</v>
      </c>
      <c r="L259" s="222">
        <v>42693</v>
      </c>
      <c r="M259" s="200">
        <f t="shared" si="74"/>
        <v>140000</v>
      </c>
      <c r="N259" s="200">
        <f t="shared" si="74"/>
        <v>140000</v>
      </c>
      <c r="O259" s="275"/>
      <c r="P259" s="316">
        <f t="shared" si="73"/>
        <v>140000</v>
      </c>
      <c r="Q259" s="316">
        <f t="shared" si="73"/>
        <v>140000</v>
      </c>
      <c r="S259" s="166"/>
    </row>
    <row r="260" spans="1:19" ht="47.25" x14ac:dyDescent="0.25">
      <c r="A260" s="304"/>
      <c r="B260" s="319" t="s">
        <v>2307</v>
      </c>
      <c r="C260" s="315" t="s">
        <v>2332</v>
      </c>
      <c r="D260" s="320" t="s">
        <v>629</v>
      </c>
      <c r="E260" s="220"/>
      <c r="F260" s="223">
        <v>25000</v>
      </c>
      <c r="G260" s="217">
        <v>31582</v>
      </c>
      <c r="H260" s="221">
        <v>42853</v>
      </c>
      <c r="I260" s="225">
        <v>25000</v>
      </c>
      <c r="J260" s="225">
        <f t="shared" si="75"/>
        <v>25000</v>
      </c>
      <c r="K260" s="216" t="s">
        <v>2392</v>
      </c>
      <c r="L260" s="222">
        <v>42884</v>
      </c>
      <c r="M260" s="200">
        <f t="shared" si="74"/>
        <v>25000</v>
      </c>
      <c r="N260" s="200">
        <f t="shared" si="74"/>
        <v>25000</v>
      </c>
      <c r="O260" s="275"/>
      <c r="P260" s="316">
        <f t="shared" si="73"/>
        <v>25000</v>
      </c>
      <c r="Q260" s="316">
        <f t="shared" si="73"/>
        <v>25000</v>
      </c>
      <c r="S260" s="166"/>
    </row>
    <row r="261" spans="1:19" ht="31.5" x14ac:dyDescent="0.25">
      <c r="A261" s="304"/>
      <c r="B261" s="319" t="s">
        <v>2322</v>
      </c>
      <c r="C261" s="315">
        <v>79</v>
      </c>
      <c r="D261" s="320" t="s">
        <v>2562</v>
      </c>
      <c r="E261" s="220"/>
      <c r="F261" s="223">
        <v>248486.6</v>
      </c>
      <c r="G261" s="217">
        <v>34303</v>
      </c>
      <c r="H261" s="217" t="s">
        <v>2339</v>
      </c>
      <c r="I261" s="225">
        <v>248486.6</v>
      </c>
      <c r="J261" s="225">
        <f t="shared" si="75"/>
        <v>248486.6</v>
      </c>
      <c r="K261" s="216">
        <v>1</v>
      </c>
      <c r="L261" s="222">
        <v>42913</v>
      </c>
      <c r="M261" s="200">
        <f>I261</f>
        <v>248486.6</v>
      </c>
      <c r="N261" s="200">
        <f>J261</f>
        <v>248486.6</v>
      </c>
      <c r="O261" s="275"/>
      <c r="P261" s="316">
        <f t="shared" si="73"/>
        <v>248486.6</v>
      </c>
      <c r="Q261" s="316">
        <f t="shared" si="73"/>
        <v>248486.6</v>
      </c>
      <c r="S261" s="166"/>
    </row>
    <row r="262" spans="1:19" ht="47.25" customHeight="1" x14ac:dyDescent="0.25">
      <c r="A262" s="447"/>
      <c r="B262" s="500" t="s">
        <v>2353</v>
      </c>
      <c r="C262" s="488" t="s">
        <v>2351</v>
      </c>
      <c r="D262" s="488" t="s">
        <v>659</v>
      </c>
      <c r="E262" s="488"/>
      <c r="F262" s="472">
        <f>N262+N263</f>
        <v>3396542</v>
      </c>
      <c r="G262" s="217">
        <v>30735</v>
      </c>
      <c r="H262" s="221">
        <v>42830</v>
      </c>
      <c r="I262" s="225">
        <f>2999067/1.18</f>
        <v>2541582.2033898304</v>
      </c>
      <c r="J262" s="225">
        <f>I262*1.18</f>
        <v>2999066.9999999995</v>
      </c>
      <c r="K262" s="216">
        <v>1</v>
      </c>
      <c r="L262" s="222">
        <v>42865</v>
      </c>
      <c r="M262" s="200">
        <f>1323906/1.18</f>
        <v>1121954.2372881356</v>
      </c>
      <c r="N262" s="200">
        <f>M262*1.18</f>
        <v>1323906</v>
      </c>
      <c r="O262" s="275"/>
      <c r="P262" s="316">
        <f t="shared" si="73"/>
        <v>1121954.2372881356</v>
      </c>
      <c r="Q262" s="316">
        <f t="shared" si="73"/>
        <v>1323906</v>
      </c>
      <c r="S262" s="166"/>
    </row>
    <row r="263" spans="1:19" ht="47.25" customHeight="1" x14ac:dyDescent="0.25">
      <c r="A263" s="448"/>
      <c r="B263" s="500"/>
      <c r="C263" s="493"/>
      <c r="D263" s="493"/>
      <c r="E263" s="493"/>
      <c r="F263" s="485"/>
      <c r="G263" s="217">
        <v>34725</v>
      </c>
      <c r="H263" s="221" t="s">
        <v>2354</v>
      </c>
      <c r="I263" s="225">
        <f>397475/1.18</f>
        <v>336843.22033898305</v>
      </c>
      <c r="J263" s="225">
        <f>I263*1.18</f>
        <v>397475</v>
      </c>
      <c r="K263" s="216">
        <v>2</v>
      </c>
      <c r="L263" s="222">
        <v>42926</v>
      </c>
      <c r="M263" s="200">
        <f>2072636/1.18</f>
        <v>1756471.1864406781</v>
      </c>
      <c r="N263" s="200">
        <f>M263*1.18</f>
        <v>2072636</v>
      </c>
      <c r="O263" s="275"/>
      <c r="P263" s="316">
        <f t="shared" si="73"/>
        <v>1756471.1864406781</v>
      </c>
      <c r="Q263" s="316">
        <f t="shared" si="73"/>
        <v>2072636</v>
      </c>
      <c r="S263" s="166"/>
    </row>
    <row r="264" spans="1:19" ht="31.5" x14ac:dyDescent="0.25">
      <c r="A264" s="304"/>
      <c r="B264" s="319" t="s">
        <v>2355</v>
      </c>
      <c r="C264" s="315" t="s">
        <v>2352</v>
      </c>
      <c r="D264" s="320" t="s">
        <v>661</v>
      </c>
      <c r="E264" s="220"/>
      <c r="F264" s="223">
        <f>N264</f>
        <v>103000</v>
      </c>
      <c r="G264" s="217">
        <v>34302</v>
      </c>
      <c r="H264" s="217" t="s">
        <v>2339</v>
      </c>
      <c r="I264" s="225">
        <f>103000/1.18</f>
        <v>87288.135593220344</v>
      </c>
      <c r="J264" s="225">
        <f t="shared" ref="J264:J280" si="76">I264*1.18</f>
        <v>103000</v>
      </c>
      <c r="K264" s="216">
        <v>1</v>
      </c>
      <c r="L264" s="222">
        <v>42926</v>
      </c>
      <c r="M264" s="200">
        <f t="shared" ref="M264:N307" si="77">I264</f>
        <v>87288.135593220344</v>
      </c>
      <c r="N264" s="200">
        <f t="shared" si="77"/>
        <v>103000</v>
      </c>
      <c r="O264" s="275"/>
      <c r="P264" s="316">
        <f t="shared" si="73"/>
        <v>87288.135593220344</v>
      </c>
      <c r="Q264" s="316">
        <f t="shared" si="73"/>
        <v>103000</v>
      </c>
      <c r="S264" s="166"/>
    </row>
    <row r="265" spans="1:19" ht="47.25" x14ac:dyDescent="0.25">
      <c r="A265" s="304"/>
      <c r="B265" s="319" t="s">
        <v>2340</v>
      </c>
      <c r="C265" s="315">
        <v>103</v>
      </c>
      <c r="D265" s="320" t="s">
        <v>571</v>
      </c>
      <c r="E265" s="220"/>
      <c r="F265" s="223">
        <v>240204</v>
      </c>
      <c r="G265" s="217">
        <v>49720</v>
      </c>
      <c r="H265" s="221">
        <v>42954</v>
      </c>
      <c r="I265" s="225">
        <v>240204</v>
      </c>
      <c r="J265" s="225">
        <f>I265</f>
        <v>240204</v>
      </c>
      <c r="K265" s="216">
        <v>1</v>
      </c>
      <c r="L265" s="222">
        <v>42919</v>
      </c>
      <c r="M265" s="200">
        <f t="shared" si="77"/>
        <v>240204</v>
      </c>
      <c r="N265" s="200">
        <f t="shared" si="77"/>
        <v>240204</v>
      </c>
      <c r="O265" s="275"/>
      <c r="P265" s="316">
        <f t="shared" si="73"/>
        <v>240204</v>
      </c>
      <c r="Q265" s="316">
        <f t="shared" si="73"/>
        <v>240204</v>
      </c>
      <c r="S265" s="166"/>
    </row>
    <row r="266" spans="1:19" ht="31.5" x14ac:dyDescent="0.25">
      <c r="A266" s="304"/>
      <c r="B266" s="319" t="s">
        <v>2323</v>
      </c>
      <c r="C266" s="315" t="s">
        <v>2580</v>
      </c>
      <c r="D266" s="320" t="s">
        <v>2581</v>
      </c>
      <c r="E266" s="220"/>
      <c r="F266" s="223"/>
      <c r="G266" s="217">
        <v>55818</v>
      </c>
      <c r="H266" s="221">
        <v>43084</v>
      </c>
      <c r="I266" s="225">
        <v>482027</v>
      </c>
      <c r="J266" s="225">
        <f>I266</f>
        <v>482027</v>
      </c>
      <c r="K266" s="216" t="s">
        <v>2452</v>
      </c>
      <c r="L266" s="222">
        <v>42965</v>
      </c>
      <c r="M266" s="200">
        <f t="shared" si="77"/>
        <v>482027</v>
      </c>
      <c r="N266" s="200">
        <f t="shared" si="77"/>
        <v>482027</v>
      </c>
      <c r="O266" s="275"/>
      <c r="P266" s="316">
        <f t="shared" si="73"/>
        <v>482027</v>
      </c>
      <c r="Q266" s="316">
        <f t="shared" si="73"/>
        <v>482027</v>
      </c>
      <c r="S266" s="166"/>
    </row>
    <row r="267" spans="1:19" ht="47.25" customHeight="1" x14ac:dyDescent="0.25">
      <c r="A267" s="447"/>
      <c r="B267" s="466" t="s">
        <v>2324</v>
      </c>
      <c r="C267" s="468" t="s">
        <v>2620</v>
      </c>
      <c r="D267" s="488" t="s">
        <v>2619</v>
      </c>
      <c r="E267" s="512"/>
      <c r="F267" s="513">
        <f>Q267</f>
        <v>641773.68000000005</v>
      </c>
      <c r="G267" s="217">
        <v>31579</v>
      </c>
      <c r="H267" s="221">
        <v>42853</v>
      </c>
      <c r="I267" s="225">
        <f>513418.94/1.18</f>
        <v>435100.79661016952</v>
      </c>
      <c r="J267" s="225">
        <f t="shared" si="76"/>
        <v>513418.94</v>
      </c>
      <c r="K267" s="468">
        <v>1</v>
      </c>
      <c r="L267" s="470">
        <v>42961</v>
      </c>
      <c r="M267" s="474">
        <f>I267+I268</f>
        <v>543876</v>
      </c>
      <c r="N267" s="474">
        <f>J267+J268</f>
        <v>641773.68000000005</v>
      </c>
      <c r="O267" s="501"/>
      <c r="P267" s="474">
        <f>M267</f>
        <v>543876</v>
      </c>
      <c r="Q267" s="474">
        <f>N267</f>
        <v>641773.68000000005</v>
      </c>
      <c r="S267" s="166"/>
    </row>
    <row r="268" spans="1:19" ht="15.75" customHeight="1" x14ac:dyDescent="0.25">
      <c r="A268" s="449"/>
      <c r="B268" s="467"/>
      <c r="C268" s="469"/>
      <c r="D268" s="489"/>
      <c r="E268" s="489"/>
      <c r="F268" s="473"/>
      <c r="G268" s="217">
        <v>51098</v>
      </c>
      <c r="H268" s="221">
        <v>42989</v>
      </c>
      <c r="I268" s="225">
        <f>128354.74/1.18</f>
        <v>108775.20338983052</v>
      </c>
      <c r="J268" s="225">
        <f t="shared" si="76"/>
        <v>128354.74</v>
      </c>
      <c r="K268" s="469"/>
      <c r="L268" s="471"/>
      <c r="M268" s="475"/>
      <c r="N268" s="475"/>
      <c r="O268" s="503"/>
      <c r="P268" s="475"/>
      <c r="Q268" s="475"/>
      <c r="S268" s="166"/>
    </row>
    <row r="269" spans="1:19" ht="47.25" x14ac:dyDescent="0.25">
      <c r="A269" s="304"/>
      <c r="B269" s="319" t="s">
        <v>2325</v>
      </c>
      <c r="C269" s="315" t="s">
        <v>2356</v>
      </c>
      <c r="D269" s="320" t="s">
        <v>2622</v>
      </c>
      <c r="E269" s="220"/>
      <c r="F269" s="223">
        <v>246608</v>
      </c>
      <c r="G269" s="217">
        <v>32063</v>
      </c>
      <c r="H269" s="221">
        <v>42870</v>
      </c>
      <c r="I269" s="225">
        <v>208989.83</v>
      </c>
      <c r="J269" s="225">
        <f t="shared" si="76"/>
        <v>246607.99939999997</v>
      </c>
      <c r="K269" s="216">
        <v>1</v>
      </c>
      <c r="L269" s="222">
        <v>42953</v>
      </c>
      <c r="M269" s="200">
        <f t="shared" si="77"/>
        <v>208989.83</v>
      </c>
      <c r="N269" s="200">
        <f t="shared" si="77"/>
        <v>246607.99939999997</v>
      </c>
      <c r="O269" s="275"/>
      <c r="P269" s="316">
        <f t="shared" si="73"/>
        <v>208989.83</v>
      </c>
      <c r="Q269" s="316">
        <f t="shared" si="73"/>
        <v>246607.99939999997</v>
      </c>
      <c r="S269" s="166"/>
    </row>
    <row r="270" spans="1:19" ht="31.5" x14ac:dyDescent="0.25">
      <c r="A270" s="304"/>
      <c r="B270" s="319" t="s">
        <v>2326</v>
      </c>
      <c r="C270" s="315" t="s">
        <v>2357</v>
      </c>
      <c r="D270" s="320" t="s">
        <v>578</v>
      </c>
      <c r="E270" s="220"/>
      <c r="F270" s="223">
        <f>N270</f>
        <v>433947.99719999993</v>
      </c>
      <c r="G270" s="217">
        <v>34301</v>
      </c>
      <c r="H270" s="221">
        <v>42923</v>
      </c>
      <c r="I270" s="225">
        <v>367752.54</v>
      </c>
      <c r="J270" s="225">
        <f t="shared" si="76"/>
        <v>433947.99719999993</v>
      </c>
      <c r="K270" s="216">
        <v>1</v>
      </c>
      <c r="L270" s="222">
        <v>42953</v>
      </c>
      <c r="M270" s="200">
        <f t="shared" si="77"/>
        <v>367752.54</v>
      </c>
      <c r="N270" s="200">
        <f t="shared" si="77"/>
        <v>433947.99719999993</v>
      </c>
      <c r="O270" s="275"/>
      <c r="P270" s="316">
        <f t="shared" si="73"/>
        <v>367752.54</v>
      </c>
      <c r="Q270" s="316">
        <f t="shared" si="73"/>
        <v>433947.99719999993</v>
      </c>
      <c r="S270" s="166"/>
    </row>
    <row r="271" spans="1:19" ht="47.25" x14ac:dyDescent="0.25">
      <c r="A271" s="304"/>
      <c r="B271" s="319" t="s">
        <v>2327</v>
      </c>
      <c r="C271" s="315">
        <v>116</v>
      </c>
      <c r="D271" s="320" t="s">
        <v>540</v>
      </c>
      <c r="E271" s="220"/>
      <c r="F271" s="223">
        <v>47211.76</v>
      </c>
      <c r="G271" s="217">
        <v>52062</v>
      </c>
      <c r="H271" s="217" t="s">
        <v>2341</v>
      </c>
      <c r="I271" s="225">
        <v>47211.76</v>
      </c>
      <c r="J271" s="225">
        <f>I271</f>
        <v>47211.76</v>
      </c>
      <c r="K271" s="216">
        <v>1</v>
      </c>
      <c r="L271" s="222">
        <v>42954</v>
      </c>
      <c r="M271" s="200">
        <f t="shared" si="77"/>
        <v>47211.76</v>
      </c>
      <c r="N271" s="200">
        <f t="shared" si="77"/>
        <v>47211.76</v>
      </c>
      <c r="O271" s="275"/>
      <c r="P271" s="316">
        <f t="shared" si="73"/>
        <v>47211.76</v>
      </c>
      <c r="Q271" s="316">
        <f t="shared" si="73"/>
        <v>47211.76</v>
      </c>
      <c r="S271" s="166"/>
    </row>
    <row r="272" spans="1:19" ht="47.25" customHeight="1" x14ac:dyDescent="0.25">
      <c r="A272" s="447"/>
      <c r="B272" s="466" t="s">
        <v>2319</v>
      </c>
      <c r="C272" s="488" t="s">
        <v>2618</v>
      </c>
      <c r="D272" s="488" t="s">
        <v>146</v>
      </c>
      <c r="E272" s="488"/>
      <c r="F272" s="472">
        <v>741280</v>
      </c>
      <c r="G272" s="217">
        <v>34724</v>
      </c>
      <c r="H272" s="217" t="s">
        <v>2354</v>
      </c>
      <c r="I272" s="225">
        <f>518896/1.18</f>
        <v>439742.37288135593</v>
      </c>
      <c r="J272" s="225">
        <f t="shared" si="76"/>
        <v>518895.99999999994</v>
      </c>
      <c r="K272" s="468">
        <v>19</v>
      </c>
      <c r="L272" s="470">
        <v>42964</v>
      </c>
      <c r="M272" s="474">
        <f>I272+I273+I274</f>
        <v>628203.3898305085</v>
      </c>
      <c r="N272" s="474">
        <f>J272+J273+J274</f>
        <v>741280</v>
      </c>
      <c r="O272" s="501"/>
      <c r="P272" s="474">
        <f>M272</f>
        <v>628203.3898305085</v>
      </c>
      <c r="Q272" s="474">
        <f>N272</f>
        <v>741280</v>
      </c>
      <c r="S272" s="166"/>
    </row>
    <row r="273" spans="1:19" ht="15.75" customHeight="1" x14ac:dyDescent="0.25">
      <c r="A273" s="448"/>
      <c r="B273" s="484"/>
      <c r="C273" s="493"/>
      <c r="D273" s="493"/>
      <c r="E273" s="493"/>
      <c r="F273" s="485"/>
      <c r="G273" s="217">
        <v>50679</v>
      </c>
      <c r="H273" s="217" t="s">
        <v>2371</v>
      </c>
      <c r="I273" s="225">
        <f>137104/1.18</f>
        <v>116189.83050847458</v>
      </c>
      <c r="J273" s="225">
        <f t="shared" si="76"/>
        <v>137104</v>
      </c>
      <c r="K273" s="476"/>
      <c r="L273" s="477"/>
      <c r="M273" s="496"/>
      <c r="N273" s="496"/>
      <c r="O273" s="502"/>
      <c r="P273" s="496"/>
      <c r="Q273" s="496"/>
      <c r="S273" s="166"/>
    </row>
    <row r="274" spans="1:19" ht="15.75" customHeight="1" x14ac:dyDescent="0.25">
      <c r="A274" s="449"/>
      <c r="B274" s="467"/>
      <c r="C274" s="489"/>
      <c r="D274" s="489"/>
      <c r="E274" s="489"/>
      <c r="F274" s="473"/>
      <c r="G274" s="217">
        <v>51709</v>
      </c>
      <c r="H274" s="217" t="s">
        <v>2372</v>
      </c>
      <c r="I274" s="225">
        <f>85280/1.18</f>
        <v>72271.186440677964</v>
      </c>
      <c r="J274" s="225">
        <f t="shared" si="76"/>
        <v>85280</v>
      </c>
      <c r="K274" s="469"/>
      <c r="L274" s="471"/>
      <c r="M274" s="475"/>
      <c r="N274" s="475"/>
      <c r="O274" s="503"/>
      <c r="P274" s="475"/>
      <c r="Q274" s="475"/>
      <c r="S274" s="166"/>
    </row>
    <row r="275" spans="1:19" ht="47.25" customHeight="1" x14ac:dyDescent="0.25">
      <c r="A275" s="447"/>
      <c r="B275" s="466" t="s">
        <v>2318</v>
      </c>
      <c r="C275" s="468">
        <v>8</v>
      </c>
      <c r="D275" s="488" t="s">
        <v>543</v>
      </c>
      <c r="E275" s="488"/>
      <c r="F275" s="472">
        <v>3783402.79</v>
      </c>
      <c r="G275" s="217">
        <v>32062</v>
      </c>
      <c r="H275" s="221">
        <v>42870</v>
      </c>
      <c r="I275" s="225">
        <f>2500000/1.18</f>
        <v>2118644.0677966103</v>
      </c>
      <c r="J275" s="225">
        <f t="shared" si="76"/>
        <v>2500000</v>
      </c>
      <c r="K275" s="468" t="s">
        <v>50</v>
      </c>
      <c r="L275" s="470">
        <v>43004</v>
      </c>
      <c r="M275" s="474">
        <f>SUM(I275:I280)</f>
        <v>3206273.5508474582</v>
      </c>
      <c r="N275" s="474">
        <f>SUM(J275:J280)</f>
        <v>3783402.79</v>
      </c>
      <c r="O275" s="501"/>
      <c r="P275" s="474">
        <f>M275</f>
        <v>3206273.5508474582</v>
      </c>
      <c r="Q275" s="474">
        <f>N275</f>
        <v>3783402.79</v>
      </c>
      <c r="S275" s="166"/>
    </row>
    <row r="276" spans="1:19" ht="15.75" customHeight="1" x14ac:dyDescent="0.25">
      <c r="A276" s="448"/>
      <c r="B276" s="484"/>
      <c r="C276" s="476"/>
      <c r="D276" s="493"/>
      <c r="E276" s="493"/>
      <c r="F276" s="485"/>
      <c r="G276" s="217">
        <v>54276</v>
      </c>
      <c r="H276" s="221">
        <v>43055</v>
      </c>
      <c r="I276" s="225">
        <f>283402.79/1.18</f>
        <v>240171.85593220338</v>
      </c>
      <c r="J276" s="225">
        <f t="shared" si="76"/>
        <v>283402.78999999998</v>
      </c>
      <c r="K276" s="476"/>
      <c r="L276" s="477"/>
      <c r="M276" s="496"/>
      <c r="N276" s="496"/>
      <c r="O276" s="502"/>
      <c r="P276" s="496"/>
      <c r="Q276" s="496"/>
      <c r="S276" s="166"/>
    </row>
    <row r="277" spans="1:19" ht="15.75" customHeight="1" x14ac:dyDescent="0.25">
      <c r="A277" s="448"/>
      <c r="B277" s="484"/>
      <c r="C277" s="476"/>
      <c r="D277" s="493"/>
      <c r="E277" s="493"/>
      <c r="F277" s="485"/>
      <c r="G277" s="217">
        <v>54414</v>
      </c>
      <c r="H277" s="217" t="s">
        <v>2373</v>
      </c>
      <c r="I277" s="225">
        <f>500000/1.18</f>
        <v>423728.81355932204</v>
      </c>
      <c r="J277" s="225">
        <f t="shared" si="76"/>
        <v>500000</v>
      </c>
      <c r="K277" s="476"/>
      <c r="L277" s="477"/>
      <c r="M277" s="496"/>
      <c r="N277" s="496"/>
      <c r="O277" s="502"/>
      <c r="P277" s="496"/>
      <c r="Q277" s="496"/>
      <c r="S277" s="166"/>
    </row>
    <row r="278" spans="1:19" ht="15.75" customHeight="1" x14ac:dyDescent="0.25">
      <c r="A278" s="448"/>
      <c r="B278" s="484"/>
      <c r="C278" s="476"/>
      <c r="D278" s="493"/>
      <c r="E278" s="493"/>
      <c r="F278" s="485"/>
      <c r="G278" s="217">
        <v>54478</v>
      </c>
      <c r="H278" s="221">
        <v>43060</v>
      </c>
      <c r="I278" s="225">
        <f>200000/1.18</f>
        <v>169491.52542372883</v>
      </c>
      <c r="J278" s="225">
        <f t="shared" si="76"/>
        <v>200000</v>
      </c>
      <c r="K278" s="476"/>
      <c r="L278" s="477"/>
      <c r="M278" s="496"/>
      <c r="N278" s="496"/>
      <c r="O278" s="502"/>
      <c r="P278" s="496"/>
      <c r="Q278" s="496"/>
      <c r="S278" s="166"/>
    </row>
    <row r="279" spans="1:19" ht="15.75" customHeight="1" x14ac:dyDescent="0.25">
      <c r="A279" s="448"/>
      <c r="B279" s="484"/>
      <c r="C279" s="476"/>
      <c r="D279" s="493"/>
      <c r="E279" s="493"/>
      <c r="F279" s="485"/>
      <c r="G279" s="217">
        <v>54727</v>
      </c>
      <c r="H279" s="221">
        <v>43066</v>
      </c>
      <c r="I279" s="225">
        <f>100000/1.18</f>
        <v>84745.762711864416</v>
      </c>
      <c r="J279" s="225">
        <f t="shared" si="76"/>
        <v>100000</v>
      </c>
      <c r="K279" s="476"/>
      <c r="L279" s="477"/>
      <c r="M279" s="496"/>
      <c r="N279" s="496"/>
      <c r="O279" s="502"/>
      <c r="P279" s="496"/>
      <c r="Q279" s="496"/>
      <c r="S279" s="166"/>
    </row>
    <row r="280" spans="1:19" ht="15.75" customHeight="1" x14ac:dyDescent="0.25">
      <c r="A280" s="449"/>
      <c r="B280" s="467"/>
      <c r="C280" s="469"/>
      <c r="D280" s="489"/>
      <c r="E280" s="489"/>
      <c r="F280" s="473"/>
      <c r="G280" s="217">
        <v>54843</v>
      </c>
      <c r="H280" s="221">
        <v>43067</v>
      </c>
      <c r="I280" s="225">
        <f>200000/1.18</f>
        <v>169491.52542372883</v>
      </c>
      <c r="J280" s="225">
        <f t="shared" si="76"/>
        <v>200000</v>
      </c>
      <c r="K280" s="469"/>
      <c r="L280" s="471"/>
      <c r="M280" s="475"/>
      <c r="N280" s="475"/>
      <c r="O280" s="503"/>
      <c r="P280" s="475"/>
      <c r="Q280" s="475"/>
      <c r="S280" s="166"/>
    </row>
    <row r="281" spans="1:19" ht="15.75" customHeight="1" x14ac:dyDescent="0.25">
      <c r="A281" s="304"/>
      <c r="B281" s="219" t="s">
        <v>2317</v>
      </c>
      <c r="C281" s="315" t="s">
        <v>2582</v>
      </c>
      <c r="D281" s="315" t="s">
        <v>2583</v>
      </c>
      <c r="E281" s="315"/>
      <c r="F281" s="315"/>
      <c r="G281" s="217">
        <v>34957</v>
      </c>
      <c r="H281" s="221">
        <v>43213</v>
      </c>
      <c r="I281" s="232">
        <v>352235</v>
      </c>
      <c r="J281" s="232">
        <f>I281</f>
        <v>352235</v>
      </c>
      <c r="K281" s="216" t="s">
        <v>2453</v>
      </c>
      <c r="L281" s="222">
        <v>42988</v>
      </c>
      <c r="M281" s="200">
        <f t="shared" si="77"/>
        <v>352235</v>
      </c>
      <c r="N281" s="200">
        <f t="shared" si="77"/>
        <v>352235</v>
      </c>
      <c r="O281" s="275"/>
      <c r="P281" s="316">
        <f t="shared" si="73"/>
        <v>352235</v>
      </c>
      <c r="Q281" s="316">
        <f t="shared" si="73"/>
        <v>352235</v>
      </c>
      <c r="S281" s="166"/>
    </row>
    <row r="282" spans="1:19" ht="47.25" x14ac:dyDescent="0.25">
      <c r="A282" s="304"/>
      <c r="B282" s="319" t="s">
        <v>2316</v>
      </c>
      <c r="C282" s="315">
        <v>142</v>
      </c>
      <c r="D282" s="320" t="s">
        <v>2564</v>
      </c>
      <c r="E282" s="220"/>
      <c r="F282" s="223">
        <v>229649.28</v>
      </c>
      <c r="G282" s="217">
        <v>53856</v>
      </c>
      <c r="H282" s="221">
        <v>43047</v>
      </c>
      <c r="I282" s="232">
        <v>229649.28</v>
      </c>
      <c r="J282" s="232">
        <f>I282</f>
        <v>229649.28</v>
      </c>
      <c r="K282" s="216">
        <v>1</v>
      </c>
      <c r="L282" s="222">
        <v>43027</v>
      </c>
      <c r="M282" s="200">
        <f t="shared" si="77"/>
        <v>229649.28</v>
      </c>
      <c r="N282" s="200">
        <f t="shared" si="77"/>
        <v>229649.28</v>
      </c>
      <c r="O282" s="275"/>
      <c r="P282" s="316">
        <f t="shared" si="73"/>
        <v>229649.28</v>
      </c>
      <c r="Q282" s="316">
        <f t="shared" si="73"/>
        <v>229649.28</v>
      </c>
      <c r="S282" s="166"/>
    </row>
    <row r="283" spans="1:19" ht="31.5" x14ac:dyDescent="0.25">
      <c r="A283" s="304"/>
      <c r="B283" s="319" t="s">
        <v>2315</v>
      </c>
      <c r="C283" s="315">
        <v>115</v>
      </c>
      <c r="D283" s="320" t="s">
        <v>717</v>
      </c>
      <c r="E283" s="220"/>
      <c r="F283" s="223">
        <v>219630.73</v>
      </c>
      <c r="G283" s="217">
        <v>53409</v>
      </c>
      <c r="H283" s="221">
        <v>43039</v>
      </c>
      <c r="I283" s="232">
        <v>219630.73</v>
      </c>
      <c r="J283" s="232">
        <f>I283</f>
        <v>219630.73</v>
      </c>
      <c r="K283" s="216">
        <v>1</v>
      </c>
      <c r="L283" s="222">
        <v>43026</v>
      </c>
      <c r="M283" s="200">
        <f t="shared" si="77"/>
        <v>219630.73</v>
      </c>
      <c r="N283" s="200">
        <f t="shared" si="77"/>
        <v>219630.73</v>
      </c>
      <c r="O283" s="275"/>
      <c r="P283" s="316">
        <f t="shared" si="73"/>
        <v>219630.73</v>
      </c>
      <c r="Q283" s="316">
        <f t="shared" si="73"/>
        <v>219630.73</v>
      </c>
      <c r="S283" s="166"/>
    </row>
    <row r="284" spans="1:19" x14ac:dyDescent="0.25">
      <c r="A284" s="304"/>
      <c r="B284" s="466" t="s">
        <v>2314</v>
      </c>
      <c r="C284" s="468">
        <v>16</v>
      </c>
      <c r="D284" s="488" t="s">
        <v>545</v>
      </c>
      <c r="E284" s="488"/>
      <c r="F284" s="472">
        <v>140000</v>
      </c>
      <c r="G284" s="217">
        <v>32642</v>
      </c>
      <c r="H284" s="217" t="s">
        <v>2342</v>
      </c>
      <c r="I284" s="200">
        <f>70000/1.18</f>
        <v>59322.03389830509</v>
      </c>
      <c r="J284" s="200">
        <f>I284*1.18</f>
        <v>70000</v>
      </c>
      <c r="K284" s="468">
        <v>94</v>
      </c>
      <c r="L284" s="470">
        <v>43007</v>
      </c>
      <c r="M284" s="474">
        <f>I284+I285</f>
        <v>118644.06779661018</v>
      </c>
      <c r="N284" s="474">
        <f>J284+J285</f>
        <v>140000</v>
      </c>
      <c r="O284" s="501"/>
      <c r="P284" s="474">
        <f>M284</f>
        <v>118644.06779661018</v>
      </c>
      <c r="Q284" s="474">
        <f t="shared" si="73"/>
        <v>140000</v>
      </c>
      <c r="S284" s="166"/>
    </row>
    <row r="285" spans="1:19" x14ac:dyDescent="0.25">
      <c r="A285" s="304"/>
      <c r="B285" s="467"/>
      <c r="C285" s="469"/>
      <c r="D285" s="489"/>
      <c r="E285" s="489"/>
      <c r="F285" s="473"/>
      <c r="G285" s="217">
        <v>55274</v>
      </c>
      <c r="H285" s="217" t="s">
        <v>2343</v>
      </c>
      <c r="I285" s="232">
        <f>70000/1.18</f>
        <v>59322.03389830509</v>
      </c>
      <c r="J285" s="232">
        <f>I285*1.18</f>
        <v>70000</v>
      </c>
      <c r="K285" s="469"/>
      <c r="L285" s="471"/>
      <c r="M285" s="475"/>
      <c r="N285" s="475"/>
      <c r="O285" s="503"/>
      <c r="P285" s="475"/>
      <c r="Q285" s="475"/>
      <c r="S285" s="166"/>
    </row>
    <row r="286" spans="1:19" ht="47.25" x14ac:dyDescent="0.25">
      <c r="A286" s="304"/>
      <c r="B286" s="319" t="s">
        <v>2313</v>
      </c>
      <c r="C286" s="315" t="s">
        <v>2585</v>
      </c>
      <c r="D286" s="320" t="s">
        <v>2584</v>
      </c>
      <c r="E286" s="220"/>
      <c r="F286" s="223"/>
      <c r="G286" s="217">
        <v>34958</v>
      </c>
      <c r="H286" s="221">
        <v>43213</v>
      </c>
      <c r="I286" s="232">
        <v>265355</v>
      </c>
      <c r="J286" s="232">
        <f>I286</f>
        <v>265355</v>
      </c>
      <c r="K286" s="216" t="s">
        <v>2449</v>
      </c>
      <c r="L286" s="222" t="s">
        <v>2450</v>
      </c>
      <c r="M286" s="200">
        <f t="shared" si="77"/>
        <v>265355</v>
      </c>
      <c r="N286" s="200">
        <f t="shared" si="77"/>
        <v>265355</v>
      </c>
      <c r="O286" s="275"/>
      <c r="P286" s="316">
        <f t="shared" si="73"/>
        <v>265355</v>
      </c>
      <c r="Q286" s="316">
        <f t="shared" si="73"/>
        <v>265355</v>
      </c>
      <c r="S286" s="166"/>
    </row>
    <row r="287" spans="1:19" ht="63" x14ac:dyDescent="0.25">
      <c r="A287" s="304"/>
      <c r="B287" s="319" t="s">
        <v>2312</v>
      </c>
      <c r="C287" s="315">
        <v>3947</v>
      </c>
      <c r="D287" s="320" t="s">
        <v>2374</v>
      </c>
      <c r="E287" s="220"/>
      <c r="F287" s="223">
        <v>211659</v>
      </c>
      <c r="G287" s="217">
        <v>54143</v>
      </c>
      <c r="H287" s="221">
        <v>43053</v>
      </c>
      <c r="I287" s="232">
        <v>445105</v>
      </c>
      <c r="J287" s="232">
        <f>I287</f>
        <v>445105</v>
      </c>
      <c r="K287" s="216">
        <v>4484</v>
      </c>
      <c r="L287" s="222">
        <v>43024</v>
      </c>
      <c r="M287" s="200">
        <f t="shared" si="77"/>
        <v>445105</v>
      </c>
      <c r="N287" s="200">
        <f t="shared" si="77"/>
        <v>445105</v>
      </c>
      <c r="O287" s="275"/>
      <c r="P287" s="316">
        <f t="shared" si="73"/>
        <v>445105</v>
      </c>
      <c r="Q287" s="316">
        <f t="shared" si="73"/>
        <v>445105</v>
      </c>
      <c r="S287" s="166"/>
    </row>
    <row r="288" spans="1:19" s="7" customFormat="1" ht="31.5" customHeight="1" x14ac:dyDescent="0.25">
      <c r="A288" s="447"/>
      <c r="B288" s="466" t="s">
        <v>2311</v>
      </c>
      <c r="C288" s="468">
        <v>41</v>
      </c>
      <c r="D288" s="488" t="s">
        <v>547</v>
      </c>
      <c r="E288" s="488"/>
      <c r="F288" s="472">
        <v>7485493</v>
      </c>
      <c r="G288" s="217">
        <v>55273</v>
      </c>
      <c r="H288" s="221">
        <v>43075</v>
      </c>
      <c r="I288" s="200">
        <f>2000000/1.18</f>
        <v>1694915.2542372881</v>
      </c>
      <c r="J288" s="200">
        <f>I288*1.18</f>
        <v>2000000</v>
      </c>
      <c r="K288" s="216">
        <v>115</v>
      </c>
      <c r="L288" s="222">
        <v>43055</v>
      </c>
      <c r="M288" s="200">
        <v>508474.57627118647</v>
      </c>
      <c r="N288" s="200">
        <f>M288*1.18</f>
        <v>600000</v>
      </c>
      <c r="O288" s="275"/>
      <c r="P288" s="316">
        <f>M288</f>
        <v>508474.57627118647</v>
      </c>
      <c r="Q288" s="316">
        <f>N288</f>
        <v>600000</v>
      </c>
      <c r="S288" s="166"/>
    </row>
    <row r="289" spans="1:19" s="7" customFormat="1" ht="15.75" customHeight="1" x14ac:dyDescent="0.25">
      <c r="A289" s="448"/>
      <c r="B289" s="484"/>
      <c r="C289" s="476"/>
      <c r="D289" s="493"/>
      <c r="E289" s="493"/>
      <c r="F289" s="485"/>
      <c r="G289" s="217">
        <v>51072</v>
      </c>
      <c r="H289" s="221">
        <v>42986</v>
      </c>
      <c r="I289" s="200">
        <f>988394.4/1.18</f>
        <v>837622.37288135604</v>
      </c>
      <c r="J289" s="200">
        <f t="shared" ref="J289:J299" si="78">I289*1.18</f>
        <v>988394.4</v>
      </c>
      <c r="K289" s="216">
        <v>53</v>
      </c>
      <c r="L289" s="222">
        <v>43213</v>
      </c>
      <c r="M289" s="200">
        <f>6386073.28/1.18</f>
        <v>5411926.5084745772</v>
      </c>
      <c r="N289" s="200">
        <f t="shared" ref="N289:N293" si="79">M289*1.18</f>
        <v>6386073.2800000012</v>
      </c>
      <c r="O289" s="275"/>
      <c r="P289" s="316">
        <f t="shared" ref="P289:Q293" si="80">M289</f>
        <v>5411926.5084745772</v>
      </c>
      <c r="Q289" s="316">
        <f t="shared" si="80"/>
        <v>6386073.2800000012</v>
      </c>
      <c r="R289" s="7" t="s">
        <v>2559</v>
      </c>
      <c r="S289" s="166"/>
    </row>
    <row r="290" spans="1:19" s="7" customFormat="1" ht="15.75" customHeight="1" x14ac:dyDescent="0.25">
      <c r="A290" s="448"/>
      <c r="B290" s="484"/>
      <c r="C290" s="476"/>
      <c r="D290" s="493"/>
      <c r="E290" s="493"/>
      <c r="F290" s="485"/>
      <c r="G290" s="217">
        <v>51732</v>
      </c>
      <c r="H290" s="217" t="s">
        <v>2372</v>
      </c>
      <c r="I290" s="200">
        <f>2000000/1.18</f>
        <v>1694915.2542372881</v>
      </c>
      <c r="J290" s="200">
        <f t="shared" si="78"/>
        <v>2000000</v>
      </c>
      <c r="K290" s="216"/>
      <c r="L290" s="222"/>
      <c r="M290" s="200"/>
      <c r="N290" s="200">
        <f t="shared" si="79"/>
        <v>0</v>
      </c>
      <c r="O290" s="275"/>
      <c r="P290" s="316">
        <f t="shared" si="80"/>
        <v>0</v>
      </c>
      <c r="Q290" s="316">
        <f t="shared" si="80"/>
        <v>0</v>
      </c>
      <c r="S290" s="166"/>
    </row>
    <row r="291" spans="1:19" s="7" customFormat="1" ht="15.75" customHeight="1" x14ac:dyDescent="0.25">
      <c r="A291" s="448"/>
      <c r="B291" s="484"/>
      <c r="C291" s="476"/>
      <c r="D291" s="493"/>
      <c r="E291" s="493"/>
      <c r="F291" s="485"/>
      <c r="G291" s="217">
        <v>52121</v>
      </c>
      <c r="H291" s="217" t="s">
        <v>2380</v>
      </c>
      <c r="I291" s="200">
        <f>500000/1.18</f>
        <v>423728.81355932204</v>
      </c>
      <c r="J291" s="200">
        <f t="shared" si="78"/>
        <v>500000</v>
      </c>
      <c r="K291" s="216"/>
      <c r="L291" s="222"/>
      <c r="M291" s="200"/>
      <c r="N291" s="200">
        <f t="shared" si="79"/>
        <v>0</v>
      </c>
      <c r="O291" s="275"/>
      <c r="P291" s="316">
        <f t="shared" si="80"/>
        <v>0</v>
      </c>
      <c r="Q291" s="316">
        <f t="shared" si="80"/>
        <v>0</v>
      </c>
      <c r="S291" s="166"/>
    </row>
    <row r="292" spans="1:19" s="7" customFormat="1" ht="15.75" customHeight="1" x14ac:dyDescent="0.25">
      <c r="A292" s="448"/>
      <c r="B292" s="484"/>
      <c r="C292" s="476"/>
      <c r="D292" s="493"/>
      <c r="E292" s="493"/>
      <c r="F292" s="485"/>
      <c r="G292" s="217">
        <v>52639</v>
      </c>
      <c r="H292" s="221">
        <v>43024</v>
      </c>
      <c r="I292" s="200">
        <f>500000/1.18</f>
        <v>423728.81355932204</v>
      </c>
      <c r="J292" s="200">
        <f t="shared" si="78"/>
        <v>500000</v>
      </c>
      <c r="K292" s="216"/>
      <c r="L292" s="222"/>
      <c r="M292" s="200"/>
      <c r="N292" s="200">
        <f t="shared" si="79"/>
        <v>0</v>
      </c>
      <c r="O292" s="275"/>
      <c r="P292" s="316">
        <f t="shared" si="80"/>
        <v>0</v>
      </c>
      <c r="Q292" s="316">
        <f t="shared" si="80"/>
        <v>0</v>
      </c>
      <c r="S292" s="166"/>
    </row>
    <row r="293" spans="1:19" s="7" customFormat="1" ht="15.75" customHeight="1" x14ac:dyDescent="0.25">
      <c r="A293" s="449"/>
      <c r="B293" s="467"/>
      <c r="C293" s="469"/>
      <c r="D293" s="489"/>
      <c r="E293" s="489"/>
      <c r="F293" s="473"/>
      <c r="G293" s="217">
        <v>36529</v>
      </c>
      <c r="H293" s="217" t="s">
        <v>2381</v>
      </c>
      <c r="I293" s="200">
        <f>997678.88/1.18</f>
        <v>845490.57627118647</v>
      </c>
      <c r="J293" s="200">
        <f t="shared" si="78"/>
        <v>997678.88</v>
      </c>
      <c r="K293" s="216"/>
      <c r="L293" s="222"/>
      <c r="M293" s="200"/>
      <c r="N293" s="200">
        <f t="shared" si="79"/>
        <v>0</v>
      </c>
      <c r="O293" s="275"/>
      <c r="P293" s="316">
        <f t="shared" si="80"/>
        <v>0</v>
      </c>
      <c r="Q293" s="316">
        <f t="shared" si="80"/>
        <v>0</v>
      </c>
      <c r="S293" s="166"/>
    </row>
    <row r="294" spans="1:19" s="7" customFormat="1" ht="63" customHeight="1" x14ac:dyDescent="0.25">
      <c r="A294" s="447"/>
      <c r="B294" s="466" t="s">
        <v>2310</v>
      </c>
      <c r="C294" s="468" t="s">
        <v>2710</v>
      </c>
      <c r="D294" s="488" t="s">
        <v>667</v>
      </c>
      <c r="E294" s="488"/>
      <c r="F294" s="472">
        <f>N294+N295</f>
        <v>3680268</v>
      </c>
      <c r="G294" s="217">
        <v>51733</v>
      </c>
      <c r="H294" s="222">
        <v>43003</v>
      </c>
      <c r="I294" s="225">
        <f>2600000/1.18</f>
        <v>2203389.8305084747</v>
      </c>
      <c r="J294" s="225">
        <f t="shared" si="78"/>
        <v>2600000</v>
      </c>
      <c r="K294" s="216">
        <v>1</v>
      </c>
      <c r="L294" s="222">
        <v>43083</v>
      </c>
      <c r="M294" s="200">
        <f>2192334/1.18</f>
        <v>1857910.1694915255</v>
      </c>
      <c r="N294" s="200">
        <f>M294*1.18</f>
        <v>2192334</v>
      </c>
      <c r="O294" s="275"/>
      <c r="P294" s="316">
        <f t="shared" si="73"/>
        <v>1857910.1694915255</v>
      </c>
      <c r="Q294" s="316">
        <f t="shared" si="73"/>
        <v>2192334</v>
      </c>
      <c r="S294" s="166"/>
    </row>
    <row r="295" spans="1:19" ht="15.75" customHeight="1" x14ac:dyDescent="0.25">
      <c r="A295" s="448"/>
      <c r="B295" s="484"/>
      <c r="C295" s="476"/>
      <c r="D295" s="493"/>
      <c r="E295" s="493"/>
      <c r="F295" s="485"/>
      <c r="G295" s="217">
        <v>51774</v>
      </c>
      <c r="H295" s="222" t="s">
        <v>2359</v>
      </c>
      <c r="I295" s="200">
        <f>255218/1.18</f>
        <v>216286.44067796611</v>
      </c>
      <c r="J295" s="225">
        <f t="shared" si="78"/>
        <v>255218</v>
      </c>
      <c r="K295" s="468">
        <v>2</v>
      </c>
      <c r="L295" s="470">
        <v>43145</v>
      </c>
      <c r="M295" s="474">
        <f>1487934/1.18</f>
        <v>1260961.0169491526</v>
      </c>
      <c r="N295" s="474">
        <f>M295*1.18</f>
        <v>1487934</v>
      </c>
      <c r="O295" s="501"/>
      <c r="P295" s="474">
        <f>M295</f>
        <v>1260961.0169491526</v>
      </c>
      <c r="Q295" s="474">
        <f>N295</f>
        <v>1487934</v>
      </c>
      <c r="R295" s="514" t="s">
        <v>2559</v>
      </c>
      <c r="S295" s="166"/>
    </row>
    <row r="296" spans="1:19" ht="15.75" customHeight="1" x14ac:dyDescent="0.25">
      <c r="A296" s="448"/>
      <c r="B296" s="484"/>
      <c r="C296" s="476"/>
      <c r="D296" s="493"/>
      <c r="E296" s="493"/>
      <c r="F296" s="485"/>
      <c r="G296" s="217">
        <v>54066</v>
      </c>
      <c r="H296" s="222">
        <v>43052</v>
      </c>
      <c r="I296" s="200">
        <f>451825/1.18</f>
        <v>382902.54237288138</v>
      </c>
      <c r="J296" s="225">
        <f t="shared" si="78"/>
        <v>451825</v>
      </c>
      <c r="K296" s="476"/>
      <c r="L296" s="477"/>
      <c r="M296" s="496"/>
      <c r="N296" s="496"/>
      <c r="O296" s="502"/>
      <c r="P296" s="496"/>
      <c r="Q296" s="496"/>
      <c r="R296" s="514"/>
      <c r="S296" s="166"/>
    </row>
    <row r="297" spans="1:19" ht="15.75" customHeight="1" x14ac:dyDescent="0.25">
      <c r="A297" s="449"/>
      <c r="B297" s="467"/>
      <c r="C297" s="469"/>
      <c r="D297" s="489"/>
      <c r="E297" s="489"/>
      <c r="F297" s="473"/>
      <c r="G297" s="217">
        <v>17308</v>
      </c>
      <c r="H297" s="222">
        <v>43173</v>
      </c>
      <c r="I297" s="200">
        <f>373225/1.18</f>
        <v>316292.37288135593</v>
      </c>
      <c r="J297" s="225">
        <f t="shared" si="78"/>
        <v>373225</v>
      </c>
      <c r="K297" s="469"/>
      <c r="L297" s="471"/>
      <c r="M297" s="475"/>
      <c r="N297" s="475"/>
      <c r="O297" s="503"/>
      <c r="P297" s="475"/>
      <c r="Q297" s="475"/>
      <c r="R297" s="514"/>
      <c r="S297" s="166"/>
    </row>
    <row r="298" spans="1:19" ht="30" x14ac:dyDescent="0.25">
      <c r="A298" s="447"/>
      <c r="B298" s="466" t="s">
        <v>2309</v>
      </c>
      <c r="C298" s="468">
        <v>73</v>
      </c>
      <c r="D298" s="488" t="s">
        <v>2621</v>
      </c>
      <c r="E298" s="488"/>
      <c r="F298" s="472">
        <v>117840.19</v>
      </c>
      <c r="G298" s="216">
        <v>56124</v>
      </c>
      <c r="H298" s="222" t="s">
        <v>2376</v>
      </c>
      <c r="I298" s="225">
        <f>58920.1/1.18</f>
        <v>49932.288135593219</v>
      </c>
      <c r="J298" s="225">
        <f t="shared" si="78"/>
        <v>58920.099999999991</v>
      </c>
      <c r="K298" s="468">
        <v>1</v>
      </c>
      <c r="L298" s="470">
        <v>43096</v>
      </c>
      <c r="M298" s="474">
        <f>I298+I299</f>
        <v>99864.567796610165</v>
      </c>
      <c r="N298" s="474">
        <f>J298+J299</f>
        <v>117840.18999999999</v>
      </c>
      <c r="O298" s="501"/>
      <c r="P298" s="474">
        <f>M298</f>
        <v>99864.567796610165</v>
      </c>
      <c r="Q298" s="474">
        <f t="shared" si="73"/>
        <v>117840.18999999999</v>
      </c>
      <c r="S298" s="166"/>
    </row>
    <row r="299" spans="1:19" ht="45" x14ac:dyDescent="0.25">
      <c r="A299" s="449"/>
      <c r="B299" s="467"/>
      <c r="C299" s="469"/>
      <c r="D299" s="489"/>
      <c r="E299" s="489"/>
      <c r="F299" s="473"/>
      <c r="G299" s="217">
        <v>56459</v>
      </c>
      <c r="H299" s="222" t="s">
        <v>2377</v>
      </c>
      <c r="I299" s="225">
        <f>58920.09/1.18</f>
        <v>49932.279661016946</v>
      </c>
      <c r="J299" s="225">
        <f t="shared" si="78"/>
        <v>58920.09</v>
      </c>
      <c r="K299" s="469"/>
      <c r="L299" s="471"/>
      <c r="M299" s="475"/>
      <c r="N299" s="475"/>
      <c r="O299" s="503"/>
      <c r="P299" s="475"/>
      <c r="Q299" s="475"/>
      <c r="S299" s="166"/>
    </row>
    <row r="300" spans="1:19" ht="63" customHeight="1" x14ac:dyDescent="0.25">
      <c r="A300" s="447"/>
      <c r="B300" s="466" t="s">
        <v>2308</v>
      </c>
      <c r="C300" s="488" t="s">
        <v>2617</v>
      </c>
      <c r="D300" s="488" t="s">
        <v>682</v>
      </c>
      <c r="E300" s="488"/>
      <c r="F300" s="472">
        <v>1482560</v>
      </c>
      <c r="G300" s="217">
        <v>51734</v>
      </c>
      <c r="H300" s="221">
        <v>43003</v>
      </c>
      <c r="I300" s="225">
        <f>1027590/1.18</f>
        <v>870838.98305084754</v>
      </c>
      <c r="J300" s="225">
        <f>I300*1.18</f>
        <v>1027590</v>
      </c>
      <c r="K300" s="468">
        <v>2</v>
      </c>
      <c r="L300" s="470">
        <v>43098</v>
      </c>
      <c r="M300" s="474">
        <f>SUM(I300:I306)</f>
        <v>1382047.4576271188</v>
      </c>
      <c r="N300" s="474">
        <f>SUM(J300:J306)</f>
        <v>1630816</v>
      </c>
      <c r="O300" s="501"/>
      <c r="P300" s="474">
        <f>M300</f>
        <v>1382047.4576271188</v>
      </c>
      <c r="Q300" s="474">
        <f>N300</f>
        <v>1630816</v>
      </c>
      <c r="S300" s="166"/>
    </row>
    <row r="301" spans="1:19" ht="15.75" customHeight="1" x14ac:dyDescent="0.25">
      <c r="A301" s="448"/>
      <c r="B301" s="484"/>
      <c r="C301" s="493"/>
      <c r="D301" s="493"/>
      <c r="E301" s="493"/>
      <c r="F301" s="485"/>
      <c r="G301" s="217">
        <v>51773</v>
      </c>
      <c r="H301" s="221">
        <v>43004</v>
      </c>
      <c r="I301" s="225">
        <f>10202/1.18</f>
        <v>8645.7627118644068</v>
      </c>
      <c r="J301" s="225">
        <f t="shared" ref="J301:J306" si="81">I301*1.18</f>
        <v>10202</v>
      </c>
      <c r="K301" s="476"/>
      <c r="L301" s="477"/>
      <c r="M301" s="496"/>
      <c r="N301" s="496"/>
      <c r="O301" s="502"/>
      <c r="P301" s="496"/>
      <c r="Q301" s="496"/>
      <c r="S301" s="166"/>
    </row>
    <row r="302" spans="1:19" ht="15.75" customHeight="1" x14ac:dyDescent="0.25">
      <c r="A302" s="448"/>
      <c r="B302" s="484"/>
      <c r="C302" s="493"/>
      <c r="D302" s="493"/>
      <c r="E302" s="493"/>
      <c r="F302" s="485"/>
      <c r="G302" s="217">
        <v>54870</v>
      </c>
      <c r="H302" s="221" t="s">
        <v>2378</v>
      </c>
      <c r="I302" s="225">
        <f>103779.2/1.18</f>
        <v>87948.474576271183</v>
      </c>
      <c r="J302" s="225">
        <f t="shared" si="81"/>
        <v>103779.2</v>
      </c>
      <c r="K302" s="476"/>
      <c r="L302" s="477"/>
      <c r="M302" s="496"/>
      <c r="N302" s="496"/>
      <c r="O302" s="502"/>
      <c r="P302" s="496"/>
      <c r="Q302" s="496"/>
      <c r="S302" s="166"/>
    </row>
    <row r="303" spans="1:19" ht="15.75" customHeight="1" x14ac:dyDescent="0.25">
      <c r="A303" s="448"/>
      <c r="B303" s="484"/>
      <c r="C303" s="493"/>
      <c r="D303" s="493"/>
      <c r="E303" s="493"/>
      <c r="F303" s="485"/>
      <c r="G303" s="217">
        <v>15854</v>
      </c>
      <c r="H303" s="221" t="s">
        <v>2379</v>
      </c>
      <c r="I303" s="225">
        <f>89244.8/1.18</f>
        <v>75631.186440677979</v>
      </c>
      <c r="J303" s="225">
        <f t="shared" si="81"/>
        <v>89244.800000000003</v>
      </c>
      <c r="K303" s="476"/>
      <c r="L303" s="477"/>
      <c r="M303" s="496"/>
      <c r="N303" s="496"/>
      <c r="O303" s="502"/>
      <c r="P303" s="496"/>
      <c r="Q303" s="496"/>
      <c r="S303" s="166"/>
    </row>
    <row r="304" spans="1:19" ht="15.75" customHeight="1" x14ac:dyDescent="0.25">
      <c r="A304" s="448"/>
      <c r="B304" s="484"/>
      <c r="C304" s="493"/>
      <c r="D304" s="493"/>
      <c r="E304" s="493"/>
      <c r="F304" s="485"/>
      <c r="G304" s="217">
        <v>16286</v>
      </c>
      <c r="H304" s="221">
        <v>43147</v>
      </c>
      <c r="I304" s="225">
        <f>200000/1.18</f>
        <v>169491.52542372883</v>
      </c>
      <c r="J304" s="225">
        <f t="shared" si="81"/>
        <v>200000</v>
      </c>
      <c r="K304" s="476"/>
      <c r="L304" s="477"/>
      <c r="M304" s="496"/>
      <c r="N304" s="496"/>
      <c r="O304" s="502"/>
      <c r="P304" s="496"/>
      <c r="Q304" s="496"/>
      <c r="S304" s="166"/>
    </row>
    <row r="305" spans="1:19" ht="15.75" customHeight="1" x14ac:dyDescent="0.25">
      <c r="A305" s="448"/>
      <c r="B305" s="484"/>
      <c r="C305" s="493"/>
      <c r="D305" s="493"/>
      <c r="E305" s="493"/>
      <c r="F305" s="485"/>
      <c r="G305" s="217">
        <v>16316</v>
      </c>
      <c r="H305" s="221">
        <v>43150</v>
      </c>
      <c r="I305" s="225">
        <f>100000/1.18</f>
        <v>84745.762711864416</v>
      </c>
      <c r="J305" s="225">
        <f t="shared" si="81"/>
        <v>100000</v>
      </c>
      <c r="K305" s="476"/>
      <c r="L305" s="477"/>
      <c r="M305" s="496"/>
      <c r="N305" s="496"/>
      <c r="O305" s="502"/>
      <c r="P305" s="496"/>
      <c r="Q305" s="496"/>
      <c r="S305" s="166"/>
    </row>
    <row r="306" spans="1:19" ht="15.75" customHeight="1" x14ac:dyDescent="0.25">
      <c r="A306" s="449"/>
      <c r="B306" s="467"/>
      <c r="C306" s="489"/>
      <c r="D306" s="489"/>
      <c r="E306" s="489"/>
      <c r="F306" s="473"/>
      <c r="G306" s="217">
        <v>16370</v>
      </c>
      <c r="H306" s="221">
        <v>43151</v>
      </c>
      <c r="I306" s="225">
        <f>100000/1.18</f>
        <v>84745.762711864416</v>
      </c>
      <c r="J306" s="225">
        <f t="shared" si="81"/>
        <v>100000</v>
      </c>
      <c r="K306" s="469"/>
      <c r="L306" s="471"/>
      <c r="M306" s="475"/>
      <c r="N306" s="475"/>
      <c r="O306" s="503"/>
      <c r="P306" s="475"/>
      <c r="Q306" s="475"/>
      <c r="S306" s="166"/>
    </row>
    <row r="307" spans="1:19" ht="47.25" x14ac:dyDescent="0.25">
      <c r="A307" s="304"/>
      <c r="B307" s="319" t="s">
        <v>2701</v>
      </c>
      <c r="C307" s="315"/>
      <c r="D307" s="320"/>
      <c r="E307" s="220"/>
      <c r="F307" s="223"/>
      <c r="G307" s="217"/>
      <c r="H307" s="217"/>
      <c r="I307" s="232">
        <v>21269697.799999997</v>
      </c>
      <c r="J307" s="225">
        <f>I307</f>
        <v>21269697.799999997</v>
      </c>
      <c r="K307" s="216"/>
      <c r="L307" s="222"/>
      <c r="M307" s="200">
        <f t="shared" si="77"/>
        <v>21269697.799999997</v>
      </c>
      <c r="N307" s="200">
        <f t="shared" si="77"/>
        <v>21269697.799999997</v>
      </c>
      <c r="O307" s="275"/>
      <c r="P307" s="316">
        <f t="shared" si="73"/>
        <v>21269697.799999997</v>
      </c>
      <c r="Q307" s="316">
        <f t="shared" si="73"/>
        <v>21269697.799999997</v>
      </c>
      <c r="S307" s="167"/>
    </row>
    <row r="308" spans="1:19" s="7" customFormat="1" ht="15.75" customHeight="1" x14ac:dyDescent="0.25">
      <c r="A308" s="447"/>
      <c r="B308" s="466" t="s">
        <v>2346</v>
      </c>
      <c r="C308" s="468" t="s">
        <v>2333</v>
      </c>
      <c r="D308" s="488" t="s">
        <v>2616</v>
      </c>
      <c r="E308" s="488"/>
      <c r="F308" s="472">
        <v>264000</v>
      </c>
      <c r="G308" s="217">
        <v>53919</v>
      </c>
      <c r="H308" s="217" t="s">
        <v>2334</v>
      </c>
      <c r="I308" s="200">
        <f>132000</f>
        <v>132000</v>
      </c>
      <c r="J308" s="200">
        <f>I308</f>
        <v>132000</v>
      </c>
      <c r="K308" s="470" t="s">
        <v>2393</v>
      </c>
      <c r="L308" s="470">
        <v>43445</v>
      </c>
      <c r="M308" s="474">
        <f>I308+I309</f>
        <v>264000</v>
      </c>
      <c r="N308" s="474">
        <f>J308+J309</f>
        <v>264000</v>
      </c>
      <c r="O308" s="501"/>
      <c r="P308" s="474">
        <f>M308</f>
        <v>264000</v>
      </c>
      <c r="Q308" s="474">
        <f>N308</f>
        <v>264000</v>
      </c>
      <c r="R308" s="139">
        <f>SUM(M308:M325)</f>
        <v>17997665.095084745</v>
      </c>
      <c r="S308" s="166">
        <v>17997665.100000005</v>
      </c>
    </row>
    <row r="309" spans="1:19" s="7" customFormat="1" ht="65.25" customHeight="1" x14ac:dyDescent="0.25">
      <c r="A309" s="449"/>
      <c r="B309" s="467"/>
      <c r="C309" s="469"/>
      <c r="D309" s="489"/>
      <c r="E309" s="489"/>
      <c r="F309" s="473"/>
      <c r="G309" s="217">
        <v>1046</v>
      </c>
      <c r="H309" s="221">
        <v>43132</v>
      </c>
      <c r="I309" s="200">
        <f>132000</f>
        <v>132000</v>
      </c>
      <c r="J309" s="200">
        <f>I309</f>
        <v>132000</v>
      </c>
      <c r="K309" s="471"/>
      <c r="L309" s="471"/>
      <c r="M309" s="475"/>
      <c r="N309" s="475"/>
      <c r="O309" s="503"/>
      <c r="P309" s="475"/>
      <c r="Q309" s="475"/>
      <c r="S309" s="166"/>
    </row>
    <row r="310" spans="1:19" s="7" customFormat="1" ht="63" x14ac:dyDescent="0.25">
      <c r="A310" s="304"/>
      <c r="B310" s="319" t="s">
        <v>2400</v>
      </c>
      <c r="C310" s="315" t="s">
        <v>2358</v>
      </c>
      <c r="D310" s="320" t="s">
        <v>2572</v>
      </c>
      <c r="E310" s="220"/>
      <c r="F310" s="223">
        <v>40000</v>
      </c>
      <c r="G310" s="217">
        <v>15690</v>
      </c>
      <c r="H310" s="221">
        <v>43136</v>
      </c>
      <c r="I310" s="200">
        <f>40000/1.18</f>
        <v>33898.305084745763</v>
      </c>
      <c r="J310" s="225">
        <f t="shared" ref="J310" si="82">I310*1.18</f>
        <v>40000</v>
      </c>
      <c r="K310" s="216">
        <v>2</v>
      </c>
      <c r="L310" s="222">
        <v>43129</v>
      </c>
      <c r="M310" s="200">
        <f t="shared" ref="M310:N310" si="83">I310</f>
        <v>33898.305084745763</v>
      </c>
      <c r="N310" s="200">
        <f t="shared" si="83"/>
        <v>40000</v>
      </c>
      <c r="O310" s="275"/>
      <c r="P310" s="200">
        <f t="shared" ref="P310:Q325" si="84">M310</f>
        <v>33898.305084745763</v>
      </c>
      <c r="Q310" s="200">
        <f t="shared" si="84"/>
        <v>40000</v>
      </c>
      <c r="S310" s="166"/>
    </row>
    <row r="311" spans="1:19" s="7" customFormat="1" ht="31.5" customHeight="1" x14ac:dyDescent="0.25">
      <c r="A311" s="447"/>
      <c r="B311" s="466" t="s">
        <v>2401</v>
      </c>
      <c r="C311" s="468">
        <v>203</v>
      </c>
      <c r="D311" s="470">
        <v>43084</v>
      </c>
      <c r="E311" s="468"/>
      <c r="F311" s="468"/>
      <c r="G311" s="217">
        <v>17897</v>
      </c>
      <c r="H311" s="221">
        <v>43185</v>
      </c>
      <c r="I311" s="200">
        <v>96016</v>
      </c>
      <c r="J311" s="200">
        <f>I311</f>
        <v>96016</v>
      </c>
      <c r="K311" s="468">
        <v>1</v>
      </c>
      <c r="L311" s="470">
        <v>43145</v>
      </c>
      <c r="M311" s="474">
        <f>SUM(I311:I315)</f>
        <v>796016</v>
      </c>
      <c r="N311" s="474">
        <f>SUM(J311:J315)</f>
        <v>796016</v>
      </c>
      <c r="O311" s="517"/>
      <c r="P311" s="474">
        <f t="shared" si="84"/>
        <v>796016</v>
      </c>
      <c r="Q311" s="474">
        <f>N311</f>
        <v>796016</v>
      </c>
      <c r="S311" s="166"/>
    </row>
    <row r="312" spans="1:19" s="7" customFormat="1" ht="15.75" customHeight="1" x14ac:dyDescent="0.25">
      <c r="A312" s="448"/>
      <c r="B312" s="484"/>
      <c r="C312" s="476"/>
      <c r="D312" s="476"/>
      <c r="E312" s="476"/>
      <c r="F312" s="476"/>
      <c r="G312" s="217">
        <v>17990</v>
      </c>
      <c r="H312" s="221">
        <v>43187</v>
      </c>
      <c r="I312" s="200">
        <v>100000</v>
      </c>
      <c r="J312" s="200">
        <f t="shared" ref="J312:J315" si="85">I312</f>
        <v>100000</v>
      </c>
      <c r="K312" s="476"/>
      <c r="L312" s="476"/>
      <c r="M312" s="515"/>
      <c r="N312" s="515"/>
      <c r="O312" s="515"/>
      <c r="P312" s="496"/>
      <c r="Q312" s="496"/>
      <c r="S312" s="166"/>
    </row>
    <row r="313" spans="1:19" s="7" customFormat="1" ht="15.75" customHeight="1" x14ac:dyDescent="0.25">
      <c r="A313" s="448"/>
      <c r="B313" s="484"/>
      <c r="C313" s="476"/>
      <c r="D313" s="476"/>
      <c r="E313" s="476"/>
      <c r="F313" s="476"/>
      <c r="G313" s="217">
        <v>18279</v>
      </c>
      <c r="H313" s="221">
        <v>43192</v>
      </c>
      <c r="I313" s="200">
        <v>300000</v>
      </c>
      <c r="J313" s="200">
        <f t="shared" si="85"/>
        <v>300000</v>
      </c>
      <c r="K313" s="476"/>
      <c r="L313" s="476"/>
      <c r="M313" s="515"/>
      <c r="N313" s="515"/>
      <c r="O313" s="515"/>
      <c r="P313" s="496"/>
      <c r="Q313" s="496"/>
      <c r="S313" s="166"/>
    </row>
    <row r="314" spans="1:19" s="7" customFormat="1" ht="15.75" customHeight="1" x14ac:dyDescent="0.25">
      <c r="A314" s="448"/>
      <c r="B314" s="484"/>
      <c r="C314" s="476"/>
      <c r="D314" s="476"/>
      <c r="E314" s="476"/>
      <c r="F314" s="476"/>
      <c r="G314" s="217">
        <v>18550</v>
      </c>
      <c r="H314" s="221" t="s">
        <v>2344</v>
      </c>
      <c r="I314" s="200">
        <v>100000</v>
      </c>
      <c r="J314" s="200">
        <f t="shared" si="85"/>
        <v>100000</v>
      </c>
      <c r="K314" s="476"/>
      <c r="L314" s="476"/>
      <c r="M314" s="515"/>
      <c r="N314" s="515"/>
      <c r="O314" s="515"/>
      <c r="P314" s="496"/>
      <c r="Q314" s="496"/>
      <c r="S314" s="166"/>
    </row>
    <row r="315" spans="1:19" s="7" customFormat="1" ht="15.75" customHeight="1" x14ac:dyDescent="0.25">
      <c r="A315" s="448"/>
      <c r="B315" s="467"/>
      <c r="C315" s="476"/>
      <c r="D315" s="476"/>
      <c r="E315" s="476"/>
      <c r="F315" s="476"/>
      <c r="G315" s="217">
        <v>28035</v>
      </c>
      <c r="H315" s="221" t="s">
        <v>2345</v>
      </c>
      <c r="I315" s="200">
        <v>200000</v>
      </c>
      <c r="J315" s="200">
        <f t="shared" si="85"/>
        <v>200000</v>
      </c>
      <c r="K315" s="469"/>
      <c r="L315" s="469"/>
      <c r="M315" s="516"/>
      <c r="N315" s="516"/>
      <c r="O315" s="516"/>
      <c r="P315" s="475"/>
      <c r="Q315" s="475"/>
      <c r="S315" s="166"/>
    </row>
    <row r="316" spans="1:19" s="7" customFormat="1" ht="31.5" x14ac:dyDescent="0.25">
      <c r="A316" s="304"/>
      <c r="B316" s="319" t="s">
        <v>2402</v>
      </c>
      <c r="C316" s="315">
        <v>208</v>
      </c>
      <c r="D316" s="320" t="s">
        <v>2565</v>
      </c>
      <c r="E316" s="220"/>
      <c r="F316" s="223">
        <v>268575</v>
      </c>
      <c r="G316" s="217">
        <v>28003</v>
      </c>
      <c r="H316" s="217" t="s">
        <v>2347</v>
      </c>
      <c r="I316" s="200">
        <v>268575</v>
      </c>
      <c r="J316" s="200">
        <f>I316</f>
        <v>268575</v>
      </c>
      <c r="K316" s="216">
        <v>1</v>
      </c>
      <c r="L316" s="222">
        <v>43175</v>
      </c>
      <c r="M316" s="200">
        <f t="shared" ref="M316:N325" si="86">I316</f>
        <v>268575</v>
      </c>
      <c r="N316" s="200">
        <f t="shared" si="86"/>
        <v>268575</v>
      </c>
      <c r="O316" s="275"/>
      <c r="P316" s="200">
        <f t="shared" si="84"/>
        <v>268575</v>
      </c>
      <c r="Q316" s="200">
        <f t="shared" si="84"/>
        <v>268575</v>
      </c>
      <c r="S316" s="166"/>
    </row>
    <row r="317" spans="1:19" s="7" customFormat="1" ht="47.25" x14ac:dyDescent="0.25">
      <c r="A317" s="304"/>
      <c r="B317" s="319" t="s">
        <v>2403</v>
      </c>
      <c r="C317" s="315">
        <v>52</v>
      </c>
      <c r="D317" s="320" t="s">
        <v>2566</v>
      </c>
      <c r="E317" s="220"/>
      <c r="F317" s="223">
        <v>333719</v>
      </c>
      <c r="G317" s="217">
        <v>28112</v>
      </c>
      <c r="H317" s="217" t="s">
        <v>2348</v>
      </c>
      <c r="I317" s="200">
        <v>333719</v>
      </c>
      <c r="J317" s="200">
        <f>I317</f>
        <v>333719</v>
      </c>
      <c r="K317" s="216">
        <v>1</v>
      </c>
      <c r="L317" s="222">
        <v>43166</v>
      </c>
      <c r="M317" s="200">
        <f t="shared" si="86"/>
        <v>333719</v>
      </c>
      <c r="N317" s="200">
        <f t="shared" si="86"/>
        <v>333719</v>
      </c>
      <c r="O317" s="275"/>
      <c r="P317" s="200">
        <f t="shared" si="84"/>
        <v>333719</v>
      </c>
      <c r="Q317" s="200">
        <f t="shared" si="84"/>
        <v>333719</v>
      </c>
      <c r="S317" s="166"/>
    </row>
    <row r="318" spans="1:19" s="7" customFormat="1" ht="47.25" x14ac:dyDescent="0.25">
      <c r="A318" s="304"/>
      <c r="B318" s="319" t="s">
        <v>2429</v>
      </c>
      <c r="C318" s="315"/>
      <c r="D318" s="320"/>
      <c r="E318" s="220"/>
      <c r="F318" s="223"/>
      <c r="G318" s="217">
        <v>28158</v>
      </c>
      <c r="H318" s="221">
        <v>43208</v>
      </c>
      <c r="I318" s="200">
        <v>138232.20000000001</v>
      </c>
      <c r="J318" s="200">
        <f>I318*1.18</f>
        <v>163113.99600000001</v>
      </c>
      <c r="K318" s="216">
        <v>20</v>
      </c>
      <c r="L318" s="222">
        <v>43196</v>
      </c>
      <c r="M318" s="200">
        <f t="shared" si="86"/>
        <v>138232.20000000001</v>
      </c>
      <c r="N318" s="200">
        <f t="shared" si="86"/>
        <v>163113.99600000001</v>
      </c>
      <c r="O318" s="275"/>
      <c r="P318" s="200">
        <f t="shared" si="84"/>
        <v>138232.20000000001</v>
      </c>
      <c r="Q318" s="200">
        <f t="shared" si="84"/>
        <v>163113.99600000001</v>
      </c>
      <c r="S318" s="166"/>
    </row>
    <row r="319" spans="1:19" s="7" customFormat="1" ht="47.25" x14ac:dyDescent="0.25">
      <c r="A319" s="304"/>
      <c r="B319" s="319" t="s">
        <v>2430</v>
      </c>
      <c r="C319" s="315">
        <v>4</v>
      </c>
      <c r="D319" s="320" t="s">
        <v>549</v>
      </c>
      <c r="E319" s="220"/>
      <c r="F319" s="223">
        <v>1115115</v>
      </c>
      <c r="G319" s="217" t="s">
        <v>2522</v>
      </c>
      <c r="H319" s="221">
        <v>43251</v>
      </c>
      <c r="I319" s="200">
        <v>945012.71</v>
      </c>
      <c r="J319" s="200">
        <f t="shared" ref="J319" si="87">I319*1.18</f>
        <v>1115114.9978</v>
      </c>
      <c r="K319" s="216">
        <v>52</v>
      </c>
      <c r="L319" s="222">
        <v>43213</v>
      </c>
      <c r="M319" s="200">
        <f t="shared" si="86"/>
        <v>945012.71</v>
      </c>
      <c r="N319" s="200">
        <f t="shared" si="86"/>
        <v>1115114.9978</v>
      </c>
      <c r="O319" s="275"/>
      <c r="P319" s="200">
        <f t="shared" si="84"/>
        <v>945012.71</v>
      </c>
      <c r="Q319" s="200">
        <f t="shared" si="84"/>
        <v>1115114.9978</v>
      </c>
      <c r="S319" s="166"/>
    </row>
    <row r="320" spans="1:19" s="7" customFormat="1" ht="63" x14ac:dyDescent="0.25">
      <c r="A320" s="304"/>
      <c r="B320" s="319" t="s">
        <v>2431</v>
      </c>
      <c r="C320" s="315">
        <v>3948</v>
      </c>
      <c r="D320" s="320" t="s">
        <v>2374</v>
      </c>
      <c r="E320" s="220"/>
      <c r="F320" s="223">
        <v>202067</v>
      </c>
      <c r="G320" s="217">
        <v>37728</v>
      </c>
      <c r="H320" s="217" t="s">
        <v>2375</v>
      </c>
      <c r="I320" s="200">
        <v>202067</v>
      </c>
      <c r="J320" s="200">
        <f>I320</f>
        <v>202067</v>
      </c>
      <c r="K320" s="216">
        <v>2309</v>
      </c>
      <c r="L320" s="222">
        <v>43243</v>
      </c>
      <c r="M320" s="200">
        <f t="shared" si="86"/>
        <v>202067</v>
      </c>
      <c r="N320" s="200">
        <f t="shared" si="86"/>
        <v>202067</v>
      </c>
      <c r="O320" s="275"/>
      <c r="P320" s="200">
        <f t="shared" si="84"/>
        <v>202067</v>
      </c>
      <c r="Q320" s="200">
        <f t="shared" si="84"/>
        <v>202067</v>
      </c>
      <c r="S320" s="166"/>
    </row>
    <row r="321" spans="1:19" s="7" customFormat="1" ht="63" x14ac:dyDescent="0.25">
      <c r="A321" s="304"/>
      <c r="B321" s="319" t="s">
        <v>2432</v>
      </c>
      <c r="C321" s="315">
        <v>3947</v>
      </c>
      <c r="D321" s="320" t="s">
        <v>2374</v>
      </c>
      <c r="E321" s="220"/>
      <c r="F321" s="223">
        <v>211659</v>
      </c>
      <c r="G321" s="217">
        <v>37995</v>
      </c>
      <c r="H321" s="221">
        <v>43278</v>
      </c>
      <c r="I321" s="200">
        <v>211659</v>
      </c>
      <c r="J321" s="200">
        <f t="shared" ref="J321:J322" si="88">I321</f>
        <v>211659</v>
      </c>
      <c r="K321" s="216">
        <v>2310</v>
      </c>
      <c r="L321" s="222" t="s">
        <v>2523</v>
      </c>
      <c r="M321" s="200">
        <f t="shared" si="86"/>
        <v>211659</v>
      </c>
      <c r="N321" s="200">
        <f t="shared" si="86"/>
        <v>211659</v>
      </c>
      <c r="O321" s="275"/>
      <c r="P321" s="200">
        <f t="shared" si="84"/>
        <v>211659</v>
      </c>
      <c r="Q321" s="200">
        <f t="shared" si="84"/>
        <v>211659</v>
      </c>
      <c r="S321" s="166"/>
    </row>
    <row r="322" spans="1:19" s="7" customFormat="1" ht="47.25" x14ac:dyDescent="0.25">
      <c r="A322" s="304"/>
      <c r="B322" s="319" t="s">
        <v>2404</v>
      </c>
      <c r="C322" s="315">
        <v>123</v>
      </c>
      <c r="D322" s="320" t="s">
        <v>2567</v>
      </c>
      <c r="E322" s="220"/>
      <c r="F322" s="223">
        <v>279620</v>
      </c>
      <c r="G322" s="217">
        <v>38592</v>
      </c>
      <c r="H322" s="217" t="s">
        <v>2349</v>
      </c>
      <c r="I322" s="200">
        <v>279620</v>
      </c>
      <c r="J322" s="200">
        <f t="shared" si="88"/>
        <v>279620</v>
      </c>
      <c r="K322" s="216">
        <v>1</v>
      </c>
      <c r="L322" s="222">
        <v>43273</v>
      </c>
      <c r="M322" s="200">
        <f t="shared" si="86"/>
        <v>279620</v>
      </c>
      <c r="N322" s="200">
        <f t="shared" si="86"/>
        <v>279620</v>
      </c>
      <c r="O322" s="275"/>
      <c r="P322" s="200">
        <f t="shared" si="84"/>
        <v>279620</v>
      </c>
      <c r="Q322" s="200">
        <f t="shared" si="84"/>
        <v>279620</v>
      </c>
      <c r="S322" s="166"/>
    </row>
    <row r="323" spans="1:19" s="7" customFormat="1" ht="31.5" x14ac:dyDescent="0.25">
      <c r="A323" s="304"/>
      <c r="B323" s="319" t="s">
        <v>2433</v>
      </c>
      <c r="C323" s="315"/>
      <c r="D323" s="320"/>
      <c r="E323" s="220"/>
      <c r="F323" s="223"/>
      <c r="G323" s="217">
        <v>39449</v>
      </c>
      <c r="H323" s="221">
        <v>43306</v>
      </c>
      <c r="I323" s="200">
        <v>253745.53</v>
      </c>
      <c r="J323" s="200">
        <f t="shared" ref="J323" si="89">I323*1.18</f>
        <v>299419.7254</v>
      </c>
      <c r="K323" s="216">
        <v>98</v>
      </c>
      <c r="L323" s="222">
        <v>43292</v>
      </c>
      <c r="M323" s="200">
        <f t="shared" si="86"/>
        <v>253745.53</v>
      </c>
      <c r="N323" s="200">
        <f t="shared" si="86"/>
        <v>299419.7254</v>
      </c>
      <c r="O323" s="275"/>
      <c r="P323" s="200">
        <f t="shared" si="84"/>
        <v>253745.53</v>
      </c>
      <c r="Q323" s="200">
        <f t="shared" si="84"/>
        <v>299419.7254</v>
      </c>
      <c r="S323" s="166"/>
    </row>
    <row r="324" spans="1:19" s="7" customFormat="1" ht="47.25" x14ac:dyDescent="0.25">
      <c r="A324" s="304"/>
      <c r="B324" s="319" t="s">
        <v>2405</v>
      </c>
      <c r="C324" s="315">
        <v>132</v>
      </c>
      <c r="D324" s="320" t="s">
        <v>2567</v>
      </c>
      <c r="E324" s="220"/>
      <c r="F324" s="223">
        <v>248583</v>
      </c>
      <c r="G324" s="217">
        <v>63134</v>
      </c>
      <c r="H324" s="221">
        <v>43327</v>
      </c>
      <c r="I324" s="200">
        <v>248583</v>
      </c>
      <c r="J324" s="200">
        <f>I324</f>
        <v>248583</v>
      </c>
      <c r="K324" s="216">
        <v>1</v>
      </c>
      <c r="L324" s="222">
        <v>43312</v>
      </c>
      <c r="M324" s="200">
        <f t="shared" si="86"/>
        <v>248583</v>
      </c>
      <c r="N324" s="200">
        <f t="shared" si="86"/>
        <v>248583</v>
      </c>
      <c r="O324" s="275"/>
      <c r="P324" s="200">
        <f t="shared" si="84"/>
        <v>248583</v>
      </c>
      <c r="Q324" s="200">
        <f t="shared" si="84"/>
        <v>248583</v>
      </c>
      <c r="S324" s="166"/>
    </row>
    <row r="325" spans="1:19" s="7" customFormat="1" ht="47.25" x14ac:dyDescent="0.25">
      <c r="A325" s="304"/>
      <c r="B325" s="319" t="s">
        <v>2702</v>
      </c>
      <c r="C325" s="315"/>
      <c r="D325" s="320"/>
      <c r="E325" s="220"/>
      <c r="F325" s="223"/>
      <c r="G325" s="217"/>
      <c r="H325" s="217"/>
      <c r="I325" s="200">
        <v>14022537.35</v>
      </c>
      <c r="J325" s="200">
        <f>I325</f>
        <v>14022537.35</v>
      </c>
      <c r="K325" s="216"/>
      <c r="L325" s="222"/>
      <c r="M325" s="200">
        <f t="shared" si="86"/>
        <v>14022537.35</v>
      </c>
      <c r="N325" s="200">
        <f t="shared" si="86"/>
        <v>14022537.35</v>
      </c>
      <c r="O325" s="275"/>
      <c r="P325" s="200">
        <f t="shared" si="84"/>
        <v>14022537.35</v>
      </c>
      <c r="Q325" s="200">
        <f t="shared" si="84"/>
        <v>14022537.35</v>
      </c>
      <c r="S325" s="167"/>
    </row>
    <row r="326" spans="1:19" s="7" customFormat="1" ht="15.75" customHeight="1" x14ac:dyDescent="0.25">
      <c r="A326" s="447"/>
      <c r="B326" s="466" t="s">
        <v>2434</v>
      </c>
      <c r="C326" s="468" t="s">
        <v>2383</v>
      </c>
      <c r="D326" s="488" t="s">
        <v>2382</v>
      </c>
      <c r="E326" s="488"/>
      <c r="F326" s="472"/>
      <c r="G326" s="217">
        <v>944</v>
      </c>
      <c r="H326" s="221" t="s">
        <v>2384</v>
      </c>
      <c r="I326" s="200">
        <f>360839.42/1.2</f>
        <v>300699.51666666666</v>
      </c>
      <c r="J326" s="200">
        <f>I326*1.2</f>
        <v>360839.42</v>
      </c>
      <c r="K326" s="216" t="s">
        <v>2524</v>
      </c>
      <c r="L326" s="222">
        <v>43546</v>
      </c>
      <c r="M326" s="200">
        <f>1317000.64/1.2</f>
        <v>1097500.5333333332</v>
      </c>
      <c r="N326" s="200">
        <f>M326*1.2</f>
        <v>1317000.6399999999</v>
      </c>
      <c r="O326" s="276"/>
      <c r="P326" s="200">
        <f t="shared" ref="P326:Q341" si="90">M326</f>
        <v>1097500.5333333332</v>
      </c>
      <c r="Q326" s="200">
        <f t="shared" si="90"/>
        <v>1317000.6399999999</v>
      </c>
      <c r="R326" s="139">
        <f>SUM(M326:M343)</f>
        <v>12139231.364887007</v>
      </c>
      <c r="S326" s="138">
        <v>12139231.359999999</v>
      </c>
    </row>
    <row r="327" spans="1:19" s="7" customFormat="1" ht="15" x14ac:dyDescent="0.25">
      <c r="A327" s="448"/>
      <c r="B327" s="484"/>
      <c r="C327" s="476"/>
      <c r="D327" s="493"/>
      <c r="E327" s="493"/>
      <c r="F327" s="485"/>
      <c r="G327" s="217">
        <v>1053</v>
      </c>
      <c r="H327" s="221">
        <v>43496</v>
      </c>
      <c r="I327" s="200">
        <f>600000/1.2</f>
        <v>500000</v>
      </c>
      <c r="J327" s="200">
        <f t="shared" ref="J327:J335" si="91">I327*1.2</f>
        <v>600000</v>
      </c>
      <c r="K327" s="216" t="s">
        <v>2525</v>
      </c>
      <c r="L327" s="222">
        <v>43546</v>
      </c>
      <c r="M327" s="200">
        <f>331753.95/1.2</f>
        <v>276461.625</v>
      </c>
      <c r="N327" s="200">
        <f t="shared" ref="N327:N334" si="92">M327*1.2</f>
        <v>331753.95</v>
      </c>
      <c r="O327" s="276"/>
      <c r="P327" s="200">
        <f t="shared" si="90"/>
        <v>276461.625</v>
      </c>
      <c r="Q327" s="200">
        <f t="shared" si="90"/>
        <v>331753.95</v>
      </c>
      <c r="S327" s="166"/>
    </row>
    <row r="328" spans="1:19" s="7" customFormat="1" ht="15.75" customHeight="1" x14ac:dyDescent="0.25">
      <c r="A328" s="448"/>
      <c r="B328" s="484"/>
      <c r="C328" s="476"/>
      <c r="D328" s="493"/>
      <c r="E328" s="493"/>
      <c r="F328" s="485"/>
      <c r="G328" s="217">
        <v>1223</v>
      </c>
      <c r="H328" s="221">
        <v>43500</v>
      </c>
      <c r="I328" s="200">
        <f>1765663.84/1.2</f>
        <v>1471386.5333333334</v>
      </c>
      <c r="J328" s="200">
        <f t="shared" si="91"/>
        <v>1765663.84</v>
      </c>
      <c r="K328" s="216" t="s">
        <v>2526</v>
      </c>
      <c r="L328" s="222">
        <v>43565</v>
      </c>
      <c r="M328" s="200">
        <f>1617076.26/1.2</f>
        <v>1347563.55</v>
      </c>
      <c r="N328" s="200">
        <f t="shared" si="92"/>
        <v>1617076.26</v>
      </c>
      <c r="O328" s="276"/>
      <c r="P328" s="200">
        <f t="shared" si="90"/>
        <v>1347563.55</v>
      </c>
      <c r="Q328" s="200">
        <f t="shared" si="90"/>
        <v>1617076.26</v>
      </c>
      <c r="S328" s="166"/>
    </row>
    <row r="329" spans="1:19" s="7" customFormat="1" ht="15.75" customHeight="1" x14ac:dyDescent="0.25">
      <c r="A329" s="448"/>
      <c r="B329" s="484"/>
      <c r="C329" s="476"/>
      <c r="D329" s="493"/>
      <c r="E329" s="493"/>
      <c r="F329" s="485"/>
      <c r="G329" s="217">
        <v>3676</v>
      </c>
      <c r="H329" s="221">
        <v>43543</v>
      </c>
      <c r="I329" s="200">
        <f>658500.32/1.2</f>
        <v>548750.2666666666</v>
      </c>
      <c r="J329" s="200">
        <f t="shared" si="91"/>
        <v>658500.31999999995</v>
      </c>
      <c r="K329" s="216" t="s">
        <v>2527</v>
      </c>
      <c r="L329" s="222">
        <v>43565</v>
      </c>
      <c r="M329" s="200">
        <f>956903.36/1.2</f>
        <v>797419.46666666667</v>
      </c>
      <c r="N329" s="200">
        <f t="shared" si="92"/>
        <v>956903.36</v>
      </c>
      <c r="O329" s="276"/>
      <c r="P329" s="200">
        <f t="shared" si="90"/>
        <v>797419.46666666667</v>
      </c>
      <c r="Q329" s="200">
        <f t="shared" si="90"/>
        <v>956903.36</v>
      </c>
      <c r="R329" s="7">
        <v>1.2</v>
      </c>
      <c r="S329" s="166"/>
    </row>
    <row r="330" spans="1:19" s="7" customFormat="1" ht="15.75" customHeight="1" x14ac:dyDescent="0.25">
      <c r="A330" s="448"/>
      <c r="B330" s="484"/>
      <c r="C330" s="476"/>
      <c r="D330" s="493"/>
      <c r="E330" s="493"/>
      <c r="F330" s="485"/>
      <c r="G330" s="217">
        <v>3677</v>
      </c>
      <c r="H330" s="221">
        <v>43543</v>
      </c>
      <c r="I330" s="200">
        <f>331754.74/1.2</f>
        <v>276462.28333333333</v>
      </c>
      <c r="J330" s="200">
        <f t="shared" si="91"/>
        <v>331754.74</v>
      </c>
      <c r="K330" s="216" t="s">
        <v>2528</v>
      </c>
      <c r="L330" s="222">
        <v>43578</v>
      </c>
      <c r="M330" s="200">
        <f>597250.78/1.2</f>
        <v>497708.9833333334</v>
      </c>
      <c r="N330" s="200">
        <f t="shared" si="92"/>
        <v>597250.78</v>
      </c>
      <c r="O330" s="276"/>
      <c r="P330" s="200">
        <f t="shared" si="90"/>
        <v>497708.9833333334</v>
      </c>
      <c r="Q330" s="200">
        <f t="shared" si="90"/>
        <v>597250.78</v>
      </c>
      <c r="S330" s="166"/>
    </row>
    <row r="331" spans="1:19" s="7" customFormat="1" ht="15.75" customHeight="1" x14ac:dyDescent="0.25">
      <c r="A331" s="448"/>
      <c r="B331" s="484"/>
      <c r="C331" s="476"/>
      <c r="D331" s="493"/>
      <c r="E331" s="493"/>
      <c r="F331" s="485"/>
      <c r="G331" s="217">
        <v>28927</v>
      </c>
      <c r="H331" s="221">
        <v>43564</v>
      </c>
      <c r="I331" s="200">
        <f>808538.13/1.2</f>
        <v>673781.77500000002</v>
      </c>
      <c r="J331" s="200">
        <f t="shared" si="91"/>
        <v>808538.13</v>
      </c>
      <c r="K331" s="216" t="s">
        <v>2529</v>
      </c>
      <c r="L331" s="222">
        <v>43606</v>
      </c>
      <c r="M331" s="200">
        <f>633020.74/1.2</f>
        <v>527517.28333333333</v>
      </c>
      <c r="N331" s="200">
        <f t="shared" si="92"/>
        <v>633020.74</v>
      </c>
      <c r="O331" s="276"/>
      <c r="P331" s="200">
        <f t="shared" si="90"/>
        <v>527517.28333333333</v>
      </c>
      <c r="Q331" s="200">
        <f t="shared" si="90"/>
        <v>633020.74</v>
      </c>
      <c r="S331" s="166"/>
    </row>
    <row r="332" spans="1:19" s="7" customFormat="1" ht="15.75" customHeight="1" x14ac:dyDescent="0.25">
      <c r="A332" s="448"/>
      <c r="B332" s="484"/>
      <c r="C332" s="476"/>
      <c r="D332" s="493"/>
      <c r="E332" s="493"/>
      <c r="F332" s="485"/>
      <c r="G332" s="217">
        <v>28929</v>
      </c>
      <c r="H332" s="221">
        <v>43564</v>
      </c>
      <c r="I332" s="200">
        <f>312574.3/1.2</f>
        <v>260478.58333333334</v>
      </c>
      <c r="J332" s="200">
        <f t="shared" si="91"/>
        <v>312574.3</v>
      </c>
      <c r="K332" s="216"/>
      <c r="L332" s="222"/>
      <c r="M332" s="200"/>
      <c r="N332" s="200">
        <f t="shared" si="92"/>
        <v>0</v>
      </c>
      <c r="O332" s="276"/>
      <c r="P332" s="200">
        <f t="shared" si="90"/>
        <v>0</v>
      </c>
      <c r="Q332" s="200">
        <f t="shared" si="90"/>
        <v>0</v>
      </c>
      <c r="S332" s="166"/>
    </row>
    <row r="333" spans="1:19" s="7" customFormat="1" ht="15.75" customHeight="1" x14ac:dyDescent="0.25">
      <c r="A333" s="448"/>
      <c r="B333" s="484"/>
      <c r="C333" s="476"/>
      <c r="D333" s="493"/>
      <c r="E333" s="493"/>
      <c r="F333" s="485"/>
      <c r="G333" s="217">
        <v>29491</v>
      </c>
      <c r="H333" s="221">
        <v>43577</v>
      </c>
      <c r="I333" s="200">
        <f>298625.39/1.2</f>
        <v>248854.4916666667</v>
      </c>
      <c r="J333" s="200">
        <f t="shared" si="91"/>
        <v>298625.39</v>
      </c>
      <c r="K333" s="216"/>
      <c r="L333" s="222"/>
      <c r="M333" s="200"/>
      <c r="N333" s="200">
        <f t="shared" si="92"/>
        <v>0</v>
      </c>
      <c r="O333" s="276"/>
      <c r="P333" s="200">
        <f t="shared" si="90"/>
        <v>0</v>
      </c>
      <c r="Q333" s="200">
        <f t="shared" si="90"/>
        <v>0</v>
      </c>
      <c r="S333" s="166"/>
    </row>
    <row r="334" spans="1:19" s="7" customFormat="1" ht="15.75" customHeight="1" x14ac:dyDescent="0.25">
      <c r="A334" s="449"/>
      <c r="B334" s="467"/>
      <c r="C334" s="469"/>
      <c r="D334" s="489"/>
      <c r="E334" s="489"/>
      <c r="F334" s="473"/>
      <c r="G334" s="217">
        <v>42236</v>
      </c>
      <c r="H334" s="221">
        <v>43602</v>
      </c>
      <c r="I334" s="200">
        <f>316509.59/1.2</f>
        <v>263757.9916666667</v>
      </c>
      <c r="J334" s="200">
        <f t="shared" si="91"/>
        <v>316509.59000000003</v>
      </c>
      <c r="K334" s="216"/>
      <c r="L334" s="222"/>
      <c r="M334" s="200"/>
      <c r="N334" s="200">
        <f t="shared" si="92"/>
        <v>0</v>
      </c>
      <c r="O334" s="276"/>
      <c r="P334" s="200">
        <f t="shared" si="90"/>
        <v>0</v>
      </c>
      <c r="Q334" s="200">
        <f t="shared" si="90"/>
        <v>0</v>
      </c>
      <c r="S334" s="166"/>
    </row>
    <row r="335" spans="1:19" s="7" customFormat="1" ht="31.5" customHeight="1" x14ac:dyDescent="0.25">
      <c r="A335" s="304"/>
      <c r="B335" s="319" t="s">
        <v>2435</v>
      </c>
      <c r="C335" s="315" t="s">
        <v>2615</v>
      </c>
      <c r="D335" s="320" t="s">
        <v>2614</v>
      </c>
      <c r="E335" s="220"/>
      <c r="F335" s="223"/>
      <c r="G335" s="217">
        <v>43772</v>
      </c>
      <c r="H335" s="221">
        <v>43634</v>
      </c>
      <c r="I335" s="218">
        <f>6000/1.2</f>
        <v>5000</v>
      </c>
      <c r="J335" s="200">
        <f t="shared" si="91"/>
        <v>6000</v>
      </c>
      <c r="K335" s="216">
        <v>116</v>
      </c>
      <c r="L335" s="222">
        <v>43638</v>
      </c>
      <c r="M335" s="200">
        <f t="shared" ref="M335:N343" si="93">I335</f>
        <v>5000</v>
      </c>
      <c r="N335" s="200">
        <f t="shared" si="93"/>
        <v>6000</v>
      </c>
      <c r="O335" s="276"/>
      <c r="P335" s="200">
        <f t="shared" si="90"/>
        <v>5000</v>
      </c>
      <c r="Q335" s="200">
        <f t="shared" si="90"/>
        <v>6000</v>
      </c>
      <c r="S335" s="166"/>
    </row>
    <row r="336" spans="1:19" s="7" customFormat="1" ht="15.75" customHeight="1" x14ac:dyDescent="0.25">
      <c r="A336" s="447"/>
      <c r="B336" s="466" t="s">
        <v>2360</v>
      </c>
      <c r="C336" s="468" t="s">
        <v>2361</v>
      </c>
      <c r="D336" s="488" t="s">
        <v>2573</v>
      </c>
      <c r="E336" s="488"/>
      <c r="F336" s="472">
        <v>1550336.03</v>
      </c>
      <c r="G336" s="217">
        <v>68702</v>
      </c>
      <c r="H336" s="221">
        <v>43437</v>
      </c>
      <c r="I336" s="200">
        <f>1218176.01/1.18</f>
        <v>1032352.5508474577</v>
      </c>
      <c r="J336" s="200">
        <f>I336*1.18</f>
        <v>1218176.01</v>
      </c>
      <c r="K336" s="468">
        <v>1</v>
      </c>
      <c r="L336" s="470">
        <v>43462</v>
      </c>
      <c r="M336" s="474">
        <f>I336+I337</f>
        <v>1313844.0932203392</v>
      </c>
      <c r="N336" s="474">
        <f>J336+J337</f>
        <v>1550336.03</v>
      </c>
      <c r="O336" s="481"/>
      <c r="P336" s="474">
        <f t="shared" si="90"/>
        <v>1313844.0932203392</v>
      </c>
      <c r="Q336" s="474">
        <f t="shared" si="90"/>
        <v>1550336.03</v>
      </c>
      <c r="S336" s="166"/>
    </row>
    <row r="337" spans="1:19" s="7" customFormat="1" ht="15.75" customHeight="1" x14ac:dyDescent="0.25">
      <c r="A337" s="449"/>
      <c r="B337" s="467"/>
      <c r="C337" s="469"/>
      <c r="D337" s="489"/>
      <c r="E337" s="489"/>
      <c r="F337" s="473"/>
      <c r="G337" s="217">
        <v>3519</v>
      </c>
      <c r="H337" s="221">
        <v>43539</v>
      </c>
      <c r="I337" s="200">
        <f>332160.02/1.18</f>
        <v>281491.54237288138</v>
      </c>
      <c r="J337" s="200">
        <f>I337*1.18</f>
        <v>332160.02</v>
      </c>
      <c r="K337" s="469"/>
      <c r="L337" s="471"/>
      <c r="M337" s="475"/>
      <c r="N337" s="475"/>
      <c r="O337" s="483"/>
      <c r="P337" s="475"/>
      <c r="Q337" s="475"/>
      <c r="S337" s="166"/>
    </row>
    <row r="338" spans="1:19" s="7" customFormat="1" ht="47.25" customHeight="1" x14ac:dyDescent="0.25">
      <c r="A338" s="447"/>
      <c r="B338" s="466" t="s">
        <v>2360</v>
      </c>
      <c r="C338" s="315" t="s">
        <v>2362</v>
      </c>
      <c r="D338" s="320" t="s">
        <v>2574</v>
      </c>
      <c r="E338" s="220"/>
      <c r="F338" s="223">
        <v>220234</v>
      </c>
      <c r="G338" s="217">
        <v>1120</v>
      </c>
      <c r="H338" s="221">
        <v>43496</v>
      </c>
      <c r="I338" s="200">
        <v>183528.33</v>
      </c>
      <c r="J338" s="200">
        <f>I338*1.2</f>
        <v>220233.99599999998</v>
      </c>
      <c r="K338" s="216">
        <v>1</v>
      </c>
      <c r="L338" s="222">
        <v>43503</v>
      </c>
      <c r="M338" s="200">
        <f t="shared" si="93"/>
        <v>183528.33</v>
      </c>
      <c r="N338" s="200">
        <f t="shared" si="93"/>
        <v>220233.99599999998</v>
      </c>
      <c r="O338" s="276"/>
      <c r="P338" s="200">
        <f t="shared" si="90"/>
        <v>183528.33</v>
      </c>
      <c r="Q338" s="200">
        <f t="shared" si="90"/>
        <v>220233.99599999998</v>
      </c>
      <c r="S338" s="166"/>
    </row>
    <row r="339" spans="1:19" s="7" customFormat="1" ht="47.25" customHeight="1" x14ac:dyDescent="0.25">
      <c r="A339" s="449"/>
      <c r="B339" s="467"/>
      <c r="C339" s="315" t="s">
        <v>2363</v>
      </c>
      <c r="D339" s="320" t="s">
        <v>2575</v>
      </c>
      <c r="E339" s="220"/>
      <c r="F339" s="223">
        <v>26195</v>
      </c>
      <c r="G339" s="217">
        <v>3095</v>
      </c>
      <c r="H339" s="221">
        <v>43530</v>
      </c>
      <c r="I339" s="200">
        <v>21829.17</v>
      </c>
      <c r="J339" s="200">
        <f>I339*1.2</f>
        <v>26195.003999999997</v>
      </c>
      <c r="K339" s="216">
        <v>1</v>
      </c>
      <c r="L339" s="222">
        <v>43518</v>
      </c>
      <c r="M339" s="200">
        <f t="shared" si="93"/>
        <v>21829.17</v>
      </c>
      <c r="N339" s="200">
        <f t="shared" si="93"/>
        <v>26195.003999999997</v>
      </c>
      <c r="O339" s="276"/>
      <c r="P339" s="200">
        <f t="shared" si="90"/>
        <v>21829.17</v>
      </c>
      <c r="Q339" s="200">
        <f t="shared" si="90"/>
        <v>26195.003999999997</v>
      </c>
      <c r="S339" s="166"/>
    </row>
    <row r="340" spans="1:19" s="7" customFormat="1" ht="31.5" x14ac:dyDescent="0.25">
      <c r="A340" s="304"/>
      <c r="B340" s="319" t="s">
        <v>2576</v>
      </c>
      <c r="C340" s="315" t="s">
        <v>2385</v>
      </c>
      <c r="D340" s="320" t="s">
        <v>2736</v>
      </c>
      <c r="E340" s="220"/>
      <c r="F340" s="223">
        <v>32907</v>
      </c>
      <c r="G340" s="217">
        <v>4034</v>
      </c>
      <c r="H340" s="221">
        <v>43549</v>
      </c>
      <c r="I340" s="200">
        <v>32907</v>
      </c>
      <c r="J340" s="200">
        <f>I340</f>
        <v>32907</v>
      </c>
      <c r="K340" s="216">
        <v>1</v>
      </c>
      <c r="L340" s="222">
        <v>43544</v>
      </c>
      <c r="M340" s="200">
        <f t="shared" si="93"/>
        <v>32907</v>
      </c>
      <c r="N340" s="200">
        <f t="shared" si="93"/>
        <v>32907</v>
      </c>
      <c r="O340" s="276"/>
      <c r="P340" s="200">
        <f t="shared" si="90"/>
        <v>32907</v>
      </c>
      <c r="Q340" s="200">
        <f t="shared" si="90"/>
        <v>32907</v>
      </c>
      <c r="S340" s="166"/>
    </row>
    <row r="341" spans="1:19" s="7" customFormat="1" ht="47.25" x14ac:dyDescent="0.25">
      <c r="A341" s="304"/>
      <c r="B341" s="319" t="s">
        <v>2406</v>
      </c>
      <c r="C341" s="315">
        <v>126</v>
      </c>
      <c r="D341" s="320" t="s">
        <v>2568</v>
      </c>
      <c r="E341" s="220"/>
      <c r="F341" s="223">
        <v>222360</v>
      </c>
      <c r="G341" s="217">
        <v>42105</v>
      </c>
      <c r="H341" s="221">
        <v>43600</v>
      </c>
      <c r="I341" s="200">
        <v>222360</v>
      </c>
      <c r="J341" s="200">
        <f>I341</f>
        <v>222360</v>
      </c>
      <c r="K341" s="216">
        <v>1</v>
      </c>
      <c r="L341" s="222">
        <v>43585</v>
      </c>
      <c r="M341" s="200">
        <f t="shared" si="93"/>
        <v>222360</v>
      </c>
      <c r="N341" s="200">
        <f t="shared" si="93"/>
        <v>222360</v>
      </c>
      <c r="O341" s="276"/>
      <c r="P341" s="200">
        <f t="shared" si="90"/>
        <v>222360</v>
      </c>
      <c r="Q341" s="200">
        <f t="shared" si="90"/>
        <v>222360</v>
      </c>
      <c r="S341" s="166"/>
    </row>
    <row r="342" spans="1:19" s="7" customFormat="1" ht="47.25" x14ac:dyDescent="0.25">
      <c r="A342" s="304"/>
      <c r="B342" s="319" t="s">
        <v>2407</v>
      </c>
      <c r="C342" s="315">
        <v>239</v>
      </c>
      <c r="D342" s="320" t="s">
        <v>2569</v>
      </c>
      <c r="E342" s="220"/>
      <c r="F342" s="223">
        <v>162296</v>
      </c>
      <c r="G342" s="217">
        <v>42262</v>
      </c>
      <c r="H342" s="221">
        <v>43605</v>
      </c>
      <c r="I342" s="200">
        <v>162296</v>
      </c>
      <c r="J342" s="200">
        <f>I342</f>
        <v>162296</v>
      </c>
      <c r="K342" s="216">
        <v>1</v>
      </c>
      <c r="L342" s="222">
        <v>43585</v>
      </c>
      <c r="M342" s="200">
        <f t="shared" si="93"/>
        <v>162296</v>
      </c>
      <c r="N342" s="200">
        <f t="shared" si="93"/>
        <v>162296</v>
      </c>
      <c r="O342" s="276"/>
      <c r="P342" s="200">
        <f t="shared" ref="P342:Q358" si="94">M342</f>
        <v>162296</v>
      </c>
      <c r="Q342" s="200">
        <f t="shared" si="94"/>
        <v>162296</v>
      </c>
      <c r="S342" s="166"/>
    </row>
    <row r="343" spans="1:19" s="7" customFormat="1" ht="47.25" x14ac:dyDescent="0.25">
      <c r="A343" s="304"/>
      <c r="B343" s="319" t="s">
        <v>2703</v>
      </c>
      <c r="C343" s="315"/>
      <c r="D343" s="320"/>
      <c r="E343" s="220"/>
      <c r="F343" s="223"/>
      <c r="G343" s="217"/>
      <c r="H343" s="217"/>
      <c r="I343" s="200">
        <v>5653295.3300000001</v>
      </c>
      <c r="J343" s="200">
        <f>I343</f>
        <v>5653295.3300000001</v>
      </c>
      <c r="K343" s="216"/>
      <c r="L343" s="222"/>
      <c r="M343" s="200">
        <f t="shared" si="93"/>
        <v>5653295.3300000001</v>
      </c>
      <c r="N343" s="200">
        <f t="shared" si="93"/>
        <v>5653295.3300000001</v>
      </c>
      <c r="O343" s="276"/>
      <c r="P343" s="200">
        <f t="shared" si="94"/>
        <v>5653295.3300000001</v>
      </c>
      <c r="Q343" s="200">
        <f t="shared" si="94"/>
        <v>5653295.3300000001</v>
      </c>
      <c r="S343" s="167"/>
    </row>
    <row r="344" spans="1:19" ht="31.5" x14ac:dyDescent="0.25">
      <c r="A344" s="304"/>
      <c r="B344" s="319" t="s">
        <v>2436</v>
      </c>
      <c r="C344" s="315" t="s">
        <v>2609</v>
      </c>
      <c r="D344" s="320" t="s">
        <v>2608</v>
      </c>
      <c r="E344" s="220"/>
      <c r="F344" s="223"/>
      <c r="G344" s="217">
        <v>1382</v>
      </c>
      <c r="H344" s="217" t="s">
        <v>2386</v>
      </c>
      <c r="I344" s="200">
        <v>364406.78</v>
      </c>
      <c r="J344" s="200">
        <f>I344*1.18</f>
        <v>430000.00040000002</v>
      </c>
      <c r="K344" s="216">
        <v>892</v>
      </c>
      <c r="L344" s="222">
        <v>42419</v>
      </c>
      <c r="M344" s="200">
        <f>I344</f>
        <v>364406.78</v>
      </c>
      <c r="N344" s="200">
        <f>J344</f>
        <v>430000.00040000002</v>
      </c>
      <c r="O344" s="275"/>
      <c r="P344" s="200">
        <f t="shared" si="94"/>
        <v>364406.78</v>
      </c>
      <c r="Q344" s="200">
        <f t="shared" si="94"/>
        <v>430000.00040000002</v>
      </c>
      <c r="R344" s="137">
        <f>SUM(M344:M364)</f>
        <v>13949788.019661017</v>
      </c>
      <c r="S344" s="137">
        <v>13949788.02</v>
      </c>
    </row>
    <row r="345" spans="1:19" ht="60" customHeight="1" x14ac:dyDescent="0.25">
      <c r="A345" s="447"/>
      <c r="B345" s="466" t="s">
        <v>2437</v>
      </c>
      <c r="C345" s="468" t="s">
        <v>2335</v>
      </c>
      <c r="D345" s="488" t="s">
        <v>255</v>
      </c>
      <c r="E345" s="488"/>
      <c r="F345" s="472">
        <v>120000</v>
      </c>
      <c r="G345" s="217">
        <v>13191</v>
      </c>
      <c r="H345" s="221">
        <v>42573</v>
      </c>
      <c r="I345" s="200">
        <v>60000</v>
      </c>
      <c r="J345" s="200">
        <f>I345</f>
        <v>60000</v>
      </c>
      <c r="K345" s="468" t="s">
        <v>2394</v>
      </c>
      <c r="L345" s="468" t="s">
        <v>2395</v>
      </c>
      <c r="M345" s="474">
        <f>I345+I346</f>
        <v>120000</v>
      </c>
      <c r="N345" s="474">
        <f>J345+J346</f>
        <v>120000</v>
      </c>
      <c r="O345" s="501"/>
      <c r="P345" s="474">
        <f>M345</f>
        <v>120000</v>
      </c>
      <c r="Q345" s="474">
        <f t="shared" si="94"/>
        <v>120000</v>
      </c>
    </row>
    <row r="346" spans="1:19" ht="15.75" customHeight="1" x14ac:dyDescent="0.25">
      <c r="A346" s="449"/>
      <c r="B346" s="467"/>
      <c r="C346" s="469"/>
      <c r="D346" s="489"/>
      <c r="E346" s="489"/>
      <c r="F346" s="473"/>
      <c r="G346" s="217">
        <v>14539</v>
      </c>
      <c r="H346" s="221">
        <v>42612</v>
      </c>
      <c r="I346" s="200">
        <v>60000</v>
      </c>
      <c r="J346" s="200">
        <f>I346</f>
        <v>60000</v>
      </c>
      <c r="K346" s="469"/>
      <c r="L346" s="469"/>
      <c r="M346" s="475"/>
      <c r="N346" s="475"/>
      <c r="O346" s="503"/>
      <c r="P346" s="475"/>
      <c r="Q346" s="475"/>
    </row>
    <row r="347" spans="1:19" ht="31.5" customHeight="1" x14ac:dyDescent="0.25">
      <c r="A347" s="447"/>
      <c r="B347" s="466" t="s">
        <v>2438</v>
      </c>
      <c r="C347" s="468" t="s">
        <v>2336</v>
      </c>
      <c r="D347" s="488" t="s">
        <v>255</v>
      </c>
      <c r="E347" s="488"/>
      <c r="F347" s="472">
        <v>180000</v>
      </c>
      <c r="G347" s="217">
        <v>13190</v>
      </c>
      <c r="H347" s="221">
        <v>42573</v>
      </c>
      <c r="I347" s="200">
        <v>90000</v>
      </c>
      <c r="J347" s="200">
        <f>I347</f>
        <v>90000</v>
      </c>
      <c r="K347" s="468" t="s">
        <v>2396</v>
      </c>
      <c r="L347" s="468" t="s">
        <v>2397</v>
      </c>
      <c r="M347" s="474">
        <f>I347+I348</f>
        <v>180000</v>
      </c>
      <c r="N347" s="474">
        <f>J347+J348</f>
        <v>180000</v>
      </c>
      <c r="O347" s="501"/>
      <c r="P347" s="474">
        <f>M347</f>
        <v>180000</v>
      </c>
      <c r="Q347" s="474">
        <f>N347</f>
        <v>180000</v>
      </c>
    </row>
    <row r="348" spans="1:19" ht="15.75" customHeight="1" x14ac:dyDescent="0.25">
      <c r="A348" s="449"/>
      <c r="B348" s="467"/>
      <c r="C348" s="469"/>
      <c r="D348" s="489"/>
      <c r="E348" s="489"/>
      <c r="F348" s="473"/>
      <c r="G348" s="217">
        <v>14540</v>
      </c>
      <c r="H348" s="217" t="s">
        <v>2337</v>
      </c>
      <c r="I348" s="200">
        <v>90000</v>
      </c>
      <c r="J348" s="200">
        <f>I348</f>
        <v>90000</v>
      </c>
      <c r="K348" s="469"/>
      <c r="L348" s="469"/>
      <c r="M348" s="475"/>
      <c r="N348" s="475"/>
      <c r="O348" s="503"/>
      <c r="P348" s="475"/>
      <c r="Q348" s="475"/>
    </row>
    <row r="349" spans="1:19" ht="47.25" x14ac:dyDescent="0.25">
      <c r="A349" s="304"/>
      <c r="B349" s="319" t="s">
        <v>2439</v>
      </c>
      <c r="C349" s="320" t="s">
        <v>2613</v>
      </c>
      <c r="D349" s="327">
        <v>42573</v>
      </c>
      <c r="E349" s="220"/>
      <c r="F349" s="223">
        <v>123000</v>
      </c>
      <c r="G349" s="217">
        <v>13580</v>
      </c>
      <c r="H349" s="221">
        <v>42585</v>
      </c>
      <c r="I349" s="200">
        <v>104237.29</v>
      </c>
      <c r="J349" s="200">
        <f>I349*1.18</f>
        <v>123000.00219999999</v>
      </c>
      <c r="K349" s="216" t="s">
        <v>2454</v>
      </c>
      <c r="L349" s="222">
        <v>42592</v>
      </c>
      <c r="M349" s="200">
        <f t="shared" ref="M349:N364" si="95">I349</f>
        <v>104237.29</v>
      </c>
      <c r="N349" s="200">
        <f t="shared" si="95"/>
        <v>123000.00219999999</v>
      </c>
      <c r="O349" s="275"/>
      <c r="P349" s="200">
        <f t="shared" si="94"/>
        <v>104237.29</v>
      </c>
      <c r="Q349" s="200">
        <f t="shared" si="94"/>
        <v>123000.00219999999</v>
      </c>
    </row>
    <row r="350" spans="1:19" ht="47.25" x14ac:dyDescent="0.25">
      <c r="A350" s="304"/>
      <c r="B350" s="319" t="s">
        <v>2408</v>
      </c>
      <c r="C350" s="315">
        <v>177</v>
      </c>
      <c r="D350" s="320" t="s">
        <v>677</v>
      </c>
      <c r="E350" s="220"/>
      <c r="F350" s="223">
        <v>87583.81</v>
      </c>
      <c r="G350" s="217">
        <v>15715</v>
      </c>
      <c r="H350" s="221">
        <v>42643</v>
      </c>
      <c r="I350" s="200">
        <v>87583.81</v>
      </c>
      <c r="J350" s="200">
        <f>I350</f>
        <v>87583.81</v>
      </c>
      <c r="K350" s="216">
        <v>177</v>
      </c>
      <c r="L350" s="222">
        <v>42632</v>
      </c>
      <c r="M350" s="200">
        <f t="shared" si="95"/>
        <v>87583.81</v>
      </c>
      <c r="N350" s="200">
        <f t="shared" si="95"/>
        <v>87583.81</v>
      </c>
      <c r="O350" s="275"/>
      <c r="P350" s="200">
        <f t="shared" si="94"/>
        <v>87583.81</v>
      </c>
      <c r="Q350" s="200">
        <f t="shared" si="94"/>
        <v>87583.81</v>
      </c>
    </row>
    <row r="351" spans="1:19" ht="47.25" customHeight="1" x14ac:dyDescent="0.25">
      <c r="A351" s="447"/>
      <c r="B351" s="466" t="s">
        <v>2440</v>
      </c>
      <c r="C351" s="468" t="s">
        <v>2338</v>
      </c>
      <c r="D351" s="488" t="s">
        <v>617</v>
      </c>
      <c r="E351" s="488"/>
      <c r="F351" s="472"/>
      <c r="G351" s="217">
        <v>14541</v>
      </c>
      <c r="H351" s="221">
        <v>42612</v>
      </c>
      <c r="I351" s="200">
        <v>70000</v>
      </c>
      <c r="J351" s="200">
        <f>I351</f>
        <v>70000</v>
      </c>
      <c r="K351" s="468" t="s">
        <v>2398</v>
      </c>
      <c r="L351" s="468" t="s">
        <v>2399</v>
      </c>
      <c r="M351" s="474">
        <f>I351+I352</f>
        <v>140000</v>
      </c>
      <c r="N351" s="474">
        <f>J351+J352</f>
        <v>140000</v>
      </c>
      <c r="O351" s="501"/>
      <c r="P351" s="474">
        <f>M351</f>
        <v>140000</v>
      </c>
      <c r="Q351" s="474">
        <f>N351</f>
        <v>140000</v>
      </c>
    </row>
    <row r="352" spans="1:19" ht="15.75" customHeight="1" x14ac:dyDescent="0.25">
      <c r="A352" s="449"/>
      <c r="B352" s="467"/>
      <c r="C352" s="469"/>
      <c r="D352" s="489"/>
      <c r="E352" s="489"/>
      <c r="F352" s="473"/>
      <c r="G352" s="217">
        <v>17101</v>
      </c>
      <c r="H352" s="221">
        <v>42676</v>
      </c>
      <c r="I352" s="200">
        <v>70000</v>
      </c>
      <c r="J352" s="200">
        <f>I352</f>
        <v>70000</v>
      </c>
      <c r="K352" s="469"/>
      <c r="L352" s="469"/>
      <c r="M352" s="475"/>
      <c r="N352" s="475"/>
      <c r="O352" s="503"/>
      <c r="P352" s="475"/>
      <c r="Q352" s="475"/>
    </row>
    <row r="353" spans="1:19" ht="31.5" x14ac:dyDescent="0.25">
      <c r="A353" s="304"/>
      <c r="B353" s="319" t="s">
        <v>2441</v>
      </c>
      <c r="C353" s="315" t="s">
        <v>2365</v>
      </c>
      <c r="D353" s="320" t="s">
        <v>2364</v>
      </c>
      <c r="E353" s="220"/>
      <c r="F353" s="223">
        <f>Q353</f>
        <v>183200.00319999998</v>
      </c>
      <c r="G353" s="217">
        <v>15397</v>
      </c>
      <c r="H353" s="221">
        <v>42635</v>
      </c>
      <c r="I353" s="200">
        <v>155254.24</v>
      </c>
      <c r="J353" s="200">
        <f>I353*1.18</f>
        <v>183200.00319999998</v>
      </c>
      <c r="K353" s="216">
        <v>32</v>
      </c>
      <c r="L353" s="222">
        <v>42653</v>
      </c>
      <c r="M353" s="200">
        <f t="shared" si="95"/>
        <v>155254.24</v>
      </c>
      <c r="N353" s="200">
        <f t="shared" si="95"/>
        <v>183200.00319999998</v>
      </c>
      <c r="O353" s="275"/>
      <c r="P353" s="200">
        <f t="shared" si="94"/>
        <v>155254.24</v>
      </c>
      <c r="Q353" s="200">
        <f t="shared" si="94"/>
        <v>183200.00319999998</v>
      </c>
    </row>
    <row r="354" spans="1:19" ht="15.75" customHeight="1" x14ac:dyDescent="0.25">
      <c r="A354" s="447"/>
      <c r="B354" s="466" t="s">
        <v>2442</v>
      </c>
      <c r="C354" s="468" t="s">
        <v>2366</v>
      </c>
      <c r="D354" s="488" t="s">
        <v>2368</v>
      </c>
      <c r="E354" s="488"/>
      <c r="F354" s="472">
        <f>Q354</f>
        <v>1407000</v>
      </c>
      <c r="G354" s="217">
        <v>14405</v>
      </c>
      <c r="H354" s="221">
        <v>42608</v>
      </c>
      <c r="I354" s="200">
        <f>1113000/1.18</f>
        <v>943220.3389830509</v>
      </c>
      <c r="J354" s="200">
        <f t="shared" ref="J354:J358" si="96">I354*1.18</f>
        <v>1113000</v>
      </c>
      <c r="K354" s="468">
        <v>31</v>
      </c>
      <c r="L354" s="470">
        <v>42653</v>
      </c>
      <c r="M354" s="474">
        <f>I354+I355</f>
        <v>1192372.8813559322</v>
      </c>
      <c r="N354" s="474">
        <f>J354+J355</f>
        <v>1407000</v>
      </c>
      <c r="O354" s="501"/>
      <c r="P354" s="474">
        <f>M354</f>
        <v>1192372.8813559322</v>
      </c>
      <c r="Q354" s="474">
        <f>N354</f>
        <v>1407000</v>
      </c>
    </row>
    <row r="355" spans="1:19" ht="15.75" customHeight="1" x14ac:dyDescent="0.25">
      <c r="A355" s="449"/>
      <c r="B355" s="467"/>
      <c r="C355" s="469"/>
      <c r="D355" s="489"/>
      <c r="E355" s="489"/>
      <c r="F355" s="473"/>
      <c r="G355" s="217">
        <v>17102</v>
      </c>
      <c r="H355" s="221">
        <v>42676</v>
      </c>
      <c r="I355" s="200">
        <f>294000/1.18</f>
        <v>249152.54237288138</v>
      </c>
      <c r="J355" s="200">
        <f t="shared" si="96"/>
        <v>294000</v>
      </c>
      <c r="K355" s="469"/>
      <c r="L355" s="471"/>
      <c r="M355" s="475"/>
      <c r="N355" s="475"/>
      <c r="O355" s="503"/>
      <c r="P355" s="475"/>
      <c r="Q355" s="475"/>
    </row>
    <row r="356" spans="1:19" ht="31.5" customHeight="1" x14ac:dyDescent="0.25">
      <c r="A356" s="447"/>
      <c r="B356" s="466" t="s">
        <v>2443</v>
      </c>
      <c r="C356" s="468" t="s">
        <v>2367</v>
      </c>
      <c r="D356" s="488" t="s">
        <v>202</v>
      </c>
      <c r="E356" s="488"/>
      <c r="F356" s="472">
        <f>Q356</f>
        <v>1248437</v>
      </c>
      <c r="G356" s="217">
        <v>13677</v>
      </c>
      <c r="H356" s="221">
        <v>42587</v>
      </c>
      <c r="I356" s="200">
        <f>1078441/1.18</f>
        <v>913933.05084745772</v>
      </c>
      <c r="J356" s="200">
        <f t="shared" si="96"/>
        <v>1078441</v>
      </c>
      <c r="K356" s="468">
        <v>30</v>
      </c>
      <c r="L356" s="470">
        <v>42653</v>
      </c>
      <c r="M356" s="474">
        <f>I356+I357</f>
        <v>1057997.4576271188</v>
      </c>
      <c r="N356" s="474">
        <f>J356+J357</f>
        <v>1248437</v>
      </c>
      <c r="O356" s="501"/>
      <c r="P356" s="474">
        <f>M356</f>
        <v>1057997.4576271188</v>
      </c>
      <c r="Q356" s="474">
        <f>N356</f>
        <v>1248437</v>
      </c>
    </row>
    <row r="357" spans="1:19" ht="15.75" customHeight="1" x14ac:dyDescent="0.25">
      <c r="A357" s="449"/>
      <c r="B357" s="467"/>
      <c r="C357" s="469"/>
      <c r="D357" s="489"/>
      <c r="E357" s="489"/>
      <c r="F357" s="473"/>
      <c r="G357" s="217">
        <v>17102</v>
      </c>
      <c r="H357" s="221">
        <v>42676</v>
      </c>
      <c r="I357" s="200">
        <f>169996/1.18</f>
        <v>144064.40677966102</v>
      </c>
      <c r="J357" s="200">
        <f t="shared" si="96"/>
        <v>169996</v>
      </c>
      <c r="K357" s="469"/>
      <c r="L357" s="471"/>
      <c r="M357" s="475"/>
      <c r="N357" s="475"/>
      <c r="O357" s="503"/>
      <c r="P357" s="475"/>
      <c r="Q357" s="475"/>
    </row>
    <row r="358" spans="1:19" ht="47.25" x14ac:dyDescent="0.25">
      <c r="A358" s="304"/>
      <c r="B358" s="319" t="s">
        <v>2444</v>
      </c>
      <c r="C358" s="216" t="s">
        <v>2369</v>
      </c>
      <c r="D358" s="346" t="s">
        <v>387</v>
      </c>
      <c r="E358" s="220"/>
      <c r="F358" s="230">
        <f>Q358</f>
        <v>66800.000599999999</v>
      </c>
      <c r="G358" s="217">
        <v>15711</v>
      </c>
      <c r="H358" s="221">
        <v>42643</v>
      </c>
      <c r="I358" s="200">
        <v>56610.17</v>
      </c>
      <c r="J358" s="200">
        <f t="shared" si="96"/>
        <v>66800.000599999999</v>
      </c>
      <c r="K358" s="216">
        <v>33</v>
      </c>
      <c r="L358" s="222">
        <v>42653</v>
      </c>
      <c r="M358" s="200">
        <f t="shared" si="95"/>
        <v>56610.17</v>
      </c>
      <c r="N358" s="200">
        <f t="shared" si="95"/>
        <v>66800.000599999999</v>
      </c>
      <c r="O358" s="275"/>
      <c r="P358" s="200">
        <f t="shared" si="94"/>
        <v>56610.17</v>
      </c>
      <c r="Q358" s="200">
        <f t="shared" si="94"/>
        <v>66800.000599999999</v>
      </c>
    </row>
    <row r="359" spans="1:19" ht="31.5" x14ac:dyDescent="0.25">
      <c r="A359" s="304"/>
      <c r="B359" s="319" t="s">
        <v>2445</v>
      </c>
      <c r="C359" s="315"/>
      <c r="D359" s="320"/>
      <c r="E359" s="220"/>
      <c r="F359" s="223"/>
      <c r="G359" s="217">
        <v>821</v>
      </c>
      <c r="H359" s="221">
        <v>42765</v>
      </c>
      <c r="I359" s="200">
        <v>396939</v>
      </c>
      <c r="J359" s="200">
        <f>I359</f>
        <v>396939</v>
      </c>
      <c r="K359" s="216" t="s">
        <v>2182</v>
      </c>
      <c r="L359" s="222">
        <v>42673</v>
      </c>
      <c r="M359" s="200">
        <f t="shared" si="95"/>
        <v>396939</v>
      </c>
      <c r="N359" s="200">
        <f t="shared" si="95"/>
        <v>396939</v>
      </c>
      <c r="O359" s="275"/>
      <c r="P359" s="200">
        <f t="shared" ref="P359:Q378" si="97">M359</f>
        <v>396939</v>
      </c>
      <c r="Q359" s="200">
        <f t="shared" si="97"/>
        <v>396939</v>
      </c>
    </row>
    <row r="360" spans="1:19" ht="47.25" x14ac:dyDescent="0.25">
      <c r="A360" s="304"/>
      <c r="B360" s="319" t="s">
        <v>2409</v>
      </c>
      <c r="C360" s="315" t="s">
        <v>2454</v>
      </c>
      <c r="D360" s="320" t="s">
        <v>2570</v>
      </c>
      <c r="E360" s="220"/>
      <c r="F360" s="223">
        <v>104909.12</v>
      </c>
      <c r="G360" s="217">
        <v>21819</v>
      </c>
      <c r="H360" s="217" t="s">
        <v>2350</v>
      </c>
      <c r="I360" s="200">
        <v>104909.12</v>
      </c>
      <c r="J360" s="200">
        <f>I360</f>
        <v>104909.12</v>
      </c>
      <c r="K360" s="216">
        <v>1</v>
      </c>
      <c r="L360" s="222">
        <v>42747</v>
      </c>
      <c r="M360" s="200">
        <f t="shared" si="95"/>
        <v>104909.12</v>
      </c>
      <c r="N360" s="200">
        <f t="shared" si="95"/>
        <v>104909.12</v>
      </c>
      <c r="O360" s="275"/>
      <c r="P360" s="200">
        <f t="shared" si="97"/>
        <v>104909.12</v>
      </c>
      <c r="Q360" s="200">
        <f t="shared" si="97"/>
        <v>104909.12</v>
      </c>
    </row>
    <row r="361" spans="1:19" ht="31.5" x14ac:dyDescent="0.25">
      <c r="A361" s="304"/>
      <c r="B361" s="319" t="s">
        <v>2446</v>
      </c>
      <c r="C361" s="315"/>
      <c r="D361" s="320"/>
      <c r="E361" s="220"/>
      <c r="F361" s="223"/>
      <c r="G361" s="217">
        <v>29369</v>
      </c>
      <c r="H361" s="221">
        <v>42797</v>
      </c>
      <c r="I361" s="200">
        <v>154450</v>
      </c>
      <c r="J361" s="200">
        <f>I361</f>
        <v>154450</v>
      </c>
      <c r="K361" s="216" t="s">
        <v>2451</v>
      </c>
      <c r="L361" s="222">
        <v>42766</v>
      </c>
      <c r="M361" s="200">
        <f t="shared" si="95"/>
        <v>154450</v>
      </c>
      <c r="N361" s="200">
        <f t="shared" si="95"/>
        <v>154450</v>
      </c>
      <c r="O361" s="275"/>
      <c r="P361" s="200">
        <f t="shared" si="97"/>
        <v>154450</v>
      </c>
      <c r="Q361" s="200">
        <f t="shared" si="97"/>
        <v>154450</v>
      </c>
    </row>
    <row r="362" spans="1:19" ht="15.75" customHeight="1" x14ac:dyDescent="0.25">
      <c r="A362" s="447"/>
      <c r="B362" s="466" t="s">
        <v>2447</v>
      </c>
      <c r="C362" s="468" t="s">
        <v>2611</v>
      </c>
      <c r="D362" s="488" t="s">
        <v>2612</v>
      </c>
      <c r="E362" s="488"/>
      <c r="F362" s="472"/>
      <c r="G362" s="217">
        <v>19338</v>
      </c>
      <c r="H362" s="221">
        <v>42730</v>
      </c>
      <c r="I362" s="200">
        <f>29960/1.18</f>
        <v>25389.830508474577</v>
      </c>
      <c r="J362" s="200">
        <f>I362*1.18</f>
        <v>29960</v>
      </c>
      <c r="K362" s="468">
        <v>487</v>
      </c>
      <c r="L362" s="470">
        <v>42809</v>
      </c>
      <c r="M362" s="474">
        <f>109960/1.18</f>
        <v>93186.440677966108</v>
      </c>
      <c r="N362" s="474">
        <f>J362+J363</f>
        <v>129960</v>
      </c>
      <c r="O362" s="501"/>
      <c r="P362" s="474">
        <f t="shared" si="97"/>
        <v>93186.440677966108</v>
      </c>
      <c r="Q362" s="474">
        <f t="shared" si="97"/>
        <v>129960</v>
      </c>
    </row>
    <row r="363" spans="1:19" ht="15.75" customHeight="1" x14ac:dyDescent="0.25">
      <c r="A363" s="449"/>
      <c r="B363" s="467"/>
      <c r="C363" s="469"/>
      <c r="D363" s="489"/>
      <c r="E363" s="489"/>
      <c r="F363" s="473"/>
      <c r="G363" s="217">
        <v>29377</v>
      </c>
      <c r="H363" s="221">
        <v>42797</v>
      </c>
      <c r="I363" s="200">
        <f>100000/1.18</f>
        <v>84745.762711864416</v>
      </c>
      <c r="J363" s="200">
        <f>I363*1.18</f>
        <v>100000</v>
      </c>
      <c r="K363" s="469"/>
      <c r="L363" s="471"/>
      <c r="M363" s="475"/>
      <c r="N363" s="475"/>
      <c r="O363" s="503"/>
      <c r="P363" s="475"/>
      <c r="Q363" s="475"/>
    </row>
    <row r="364" spans="1:19" ht="31.5" x14ac:dyDescent="0.25">
      <c r="A364" s="304"/>
      <c r="B364" s="319" t="s">
        <v>2721</v>
      </c>
      <c r="C364" s="315"/>
      <c r="D364" s="320"/>
      <c r="E364" s="220"/>
      <c r="F364" s="223"/>
      <c r="G364" s="217"/>
      <c r="H364" s="217"/>
      <c r="I364" s="200">
        <v>9741840.8300000001</v>
      </c>
      <c r="J364" s="200">
        <f>I364</f>
        <v>9741840.8300000001</v>
      </c>
      <c r="K364" s="216"/>
      <c r="L364" s="222"/>
      <c r="M364" s="200">
        <f t="shared" si="95"/>
        <v>9741840.8300000001</v>
      </c>
      <c r="N364" s="200">
        <f t="shared" si="95"/>
        <v>9741840.8300000001</v>
      </c>
      <c r="O364" s="275"/>
      <c r="P364" s="200">
        <f t="shared" si="97"/>
        <v>9741840.8300000001</v>
      </c>
      <c r="Q364" s="200">
        <f t="shared" si="97"/>
        <v>9741840.8300000001</v>
      </c>
    </row>
    <row r="365" spans="1:19" s="7" customFormat="1" x14ac:dyDescent="0.25">
      <c r="A365" s="347"/>
      <c r="B365" s="466" t="s">
        <v>2549</v>
      </c>
      <c r="C365" s="468" t="s">
        <v>2550</v>
      </c>
      <c r="D365" s="488" t="s">
        <v>2551</v>
      </c>
      <c r="E365" s="488"/>
      <c r="F365" s="472">
        <f>SUM(J365:J370)</f>
        <v>16443814.829999998</v>
      </c>
      <c r="G365" s="217">
        <v>40033</v>
      </c>
      <c r="H365" s="221">
        <v>43318</v>
      </c>
      <c r="I365" s="200">
        <f>1603005.68/1.18</f>
        <v>1358479.3898305085</v>
      </c>
      <c r="J365" s="200">
        <f>I365*1.18</f>
        <v>1603005.68</v>
      </c>
      <c r="K365" s="216">
        <v>159</v>
      </c>
      <c r="L365" s="222">
        <v>43455</v>
      </c>
      <c r="M365" s="200">
        <f>14241015.5/1.18</f>
        <v>12068657.203389831</v>
      </c>
      <c r="N365" s="200">
        <f>M365*1.18</f>
        <v>14241015.5</v>
      </c>
      <c r="O365" s="275"/>
      <c r="P365" s="200">
        <f t="shared" si="97"/>
        <v>12068657.203389831</v>
      </c>
      <c r="Q365" s="200">
        <f t="shared" si="97"/>
        <v>14241015.5</v>
      </c>
      <c r="R365" s="199">
        <f>SUM(M365:M411)</f>
        <v>69382859.474745765</v>
      </c>
      <c r="S365" s="138">
        <v>69382859.469999999</v>
      </c>
    </row>
    <row r="366" spans="1:19" s="7" customFormat="1" x14ac:dyDescent="0.25">
      <c r="A366" s="233"/>
      <c r="B366" s="484"/>
      <c r="C366" s="476"/>
      <c r="D366" s="493"/>
      <c r="E366" s="493"/>
      <c r="F366" s="485"/>
      <c r="G366" s="217">
        <v>66169</v>
      </c>
      <c r="H366" s="221">
        <v>43388</v>
      </c>
      <c r="I366" s="200">
        <f>3338235.92/1.18</f>
        <v>2829013.4915254237</v>
      </c>
      <c r="J366" s="200">
        <f t="shared" ref="J366:J367" si="98">I366*1.18</f>
        <v>3338235.92</v>
      </c>
      <c r="K366" s="216">
        <v>115</v>
      </c>
      <c r="L366" s="222">
        <v>43738</v>
      </c>
      <c r="M366" s="200">
        <f>136144.72</f>
        <v>136144.72</v>
      </c>
      <c r="N366" s="200">
        <f>M366*1.18</f>
        <v>160650.7696</v>
      </c>
      <c r="O366" s="275"/>
      <c r="P366" s="200">
        <f t="shared" si="97"/>
        <v>136144.72</v>
      </c>
      <c r="Q366" s="200">
        <f t="shared" si="97"/>
        <v>160650.7696</v>
      </c>
      <c r="R366" s="139"/>
      <c r="S366" s="166"/>
    </row>
    <row r="367" spans="1:19" s="7" customFormat="1" x14ac:dyDescent="0.25">
      <c r="A367" s="233"/>
      <c r="B367" s="484"/>
      <c r="C367" s="476"/>
      <c r="D367" s="493"/>
      <c r="E367" s="493"/>
      <c r="F367" s="485"/>
      <c r="G367" s="217">
        <v>70059</v>
      </c>
      <c r="H367" s="221">
        <v>43461</v>
      </c>
      <c r="I367" s="200">
        <f>8565834.77/1.18</f>
        <v>7259182.0084745763</v>
      </c>
      <c r="J367" s="200">
        <f t="shared" si="98"/>
        <v>8565834.7699999996</v>
      </c>
      <c r="K367" s="216">
        <v>82</v>
      </c>
      <c r="L367" s="222">
        <v>44070</v>
      </c>
      <c r="M367" s="200"/>
      <c r="N367" s="200">
        <f>M367*1.2</f>
        <v>0</v>
      </c>
      <c r="O367" s="275"/>
      <c r="P367" s="200">
        <f t="shared" si="97"/>
        <v>0</v>
      </c>
      <c r="Q367" s="200">
        <f t="shared" si="97"/>
        <v>0</v>
      </c>
      <c r="R367" s="139"/>
      <c r="S367" s="166"/>
    </row>
    <row r="368" spans="1:19" s="7" customFormat="1" x14ac:dyDescent="0.25">
      <c r="A368" s="233"/>
      <c r="B368" s="484"/>
      <c r="C368" s="476"/>
      <c r="D368" s="493"/>
      <c r="E368" s="493"/>
      <c r="F368" s="485"/>
      <c r="G368" s="217">
        <v>49432</v>
      </c>
      <c r="H368" s="221">
        <v>43735</v>
      </c>
      <c r="I368" s="200">
        <f>428035.94/1.2</f>
        <v>356696.6166666667</v>
      </c>
      <c r="J368" s="200">
        <f>I368*1.2</f>
        <v>428035.94</v>
      </c>
      <c r="K368" s="216"/>
      <c r="L368" s="222"/>
      <c r="M368" s="200"/>
      <c r="N368" s="200"/>
      <c r="O368" s="275"/>
      <c r="P368" s="200">
        <f t="shared" si="97"/>
        <v>0</v>
      </c>
      <c r="Q368" s="200">
        <f t="shared" si="97"/>
        <v>0</v>
      </c>
      <c r="R368" s="139"/>
      <c r="S368" s="166"/>
    </row>
    <row r="369" spans="1:19" s="7" customFormat="1" x14ac:dyDescent="0.25">
      <c r="A369" s="233"/>
      <c r="B369" s="484"/>
      <c r="C369" s="476"/>
      <c r="D369" s="493"/>
      <c r="E369" s="493"/>
      <c r="F369" s="485"/>
      <c r="G369" s="217">
        <v>49433</v>
      </c>
      <c r="H369" s="221">
        <v>43735</v>
      </c>
      <c r="I369" s="200">
        <f>996067.99/1.2</f>
        <v>830056.65833333333</v>
      </c>
      <c r="J369" s="200">
        <f>I369*1.2</f>
        <v>996067.99</v>
      </c>
      <c r="K369" s="216"/>
      <c r="L369" s="222"/>
      <c r="M369" s="200"/>
      <c r="N369" s="200"/>
      <c r="O369" s="275"/>
      <c r="P369" s="200">
        <f t="shared" si="97"/>
        <v>0</v>
      </c>
      <c r="Q369" s="200">
        <f t="shared" si="97"/>
        <v>0</v>
      </c>
      <c r="R369" s="139"/>
      <c r="S369" s="166"/>
    </row>
    <row r="370" spans="1:19" s="7" customFormat="1" x14ac:dyDescent="0.25">
      <c r="A370" s="233"/>
      <c r="B370" s="467"/>
      <c r="C370" s="476"/>
      <c r="D370" s="493"/>
      <c r="E370" s="493"/>
      <c r="F370" s="485"/>
      <c r="G370" s="217">
        <v>68579</v>
      </c>
      <c r="H370" s="221">
        <v>44082</v>
      </c>
      <c r="I370" s="200">
        <f>1512634.53/1.2</f>
        <v>1260528.7750000001</v>
      </c>
      <c r="J370" s="200">
        <f>I370*1.2</f>
        <v>1512634.53</v>
      </c>
      <c r="K370" s="216"/>
      <c r="L370" s="222"/>
      <c r="M370" s="200"/>
      <c r="N370" s="200"/>
      <c r="O370" s="275"/>
      <c r="P370" s="200">
        <f t="shared" si="97"/>
        <v>0</v>
      </c>
      <c r="Q370" s="200">
        <f t="shared" si="97"/>
        <v>0</v>
      </c>
      <c r="R370" s="139"/>
      <c r="S370" s="166"/>
    </row>
    <row r="371" spans="1:19" s="7" customFormat="1" x14ac:dyDescent="0.25">
      <c r="A371" s="233"/>
      <c r="B371" s="466" t="s">
        <v>2557</v>
      </c>
      <c r="C371" s="468" t="s">
        <v>2552</v>
      </c>
      <c r="D371" s="488" t="s">
        <v>2387</v>
      </c>
      <c r="E371" s="488"/>
      <c r="F371" s="472">
        <f>SUM(J371:J387)</f>
        <v>19489844.240000006</v>
      </c>
      <c r="G371" s="217">
        <v>65054</v>
      </c>
      <c r="H371" s="221">
        <v>43367</v>
      </c>
      <c r="I371" s="200">
        <f>780753/1.18</f>
        <v>661655.08474576275</v>
      </c>
      <c r="J371" s="200">
        <f t="shared" ref="J371:J379" si="99">I371*1.18</f>
        <v>780753</v>
      </c>
      <c r="K371" s="216">
        <v>158</v>
      </c>
      <c r="L371" s="222">
        <v>43455</v>
      </c>
      <c r="M371" s="200">
        <f>18001574.23/1.18</f>
        <v>15255571.381355934</v>
      </c>
      <c r="N371" s="200">
        <f>M371*1.18</f>
        <v>18001574.23</v>
      </c>
      <c r="O371" s="275"/>
      <c r="P371" s="200">
        <f t="shared" si="97"/>
        <v>15255571.381355934</v>
      </c>
      <c r="Q371" s="200">
        <f t="shared" si="97"/>
        <v>18001574.23</v>
      </c>
      <c r="S371" s="166"/>
    </row>
    <row r="372" spans="1:19" s="7" customFormat="1" x14ac:dyDescent="0.25">
      <c r="A372" s="233"/>
      <c r="B372" s="484"/>
      <c r="C372" s="476"/>
      <c r="D372" s="493"/>
      <c r="E372" s="493"/>
      <c r="F372" s="485"/>
      <c r="G372" s="217">
        <v>65222</v>
      </c>
      <c r="H372" s="221">
        <v>43369</v>
      </c>
      <c r="I372" s="200">
        <f>1296728.85/1.18</f>
        <v>1098922.7542372884</v>
      </c>
      <c r="J372" s="200">
        <f t="shared" si="99"/>
        <v>1296728.8500000003</v>
      </c>
      <c r="K372" s="216"/>
      <c r="L372" s="222"/>
      <c r="M372" s="200"/>
      <c r="N372" s="200">
        <f>M372*1.18</f>
        <v>0</v>
      </c>
      <c r="O372" s="275"/>
      <c r="P372" s="200">
        <f t="shared" si="97"/>
        <v>0</v>
      </c>
      <c r="Q372" s="200">
        <f t="shared" si="97"/>
        <v>0</v>
      </c>
      <c r="S372" s="166"/>
    </row>
    <row r="373" spans="1:19" s="7" customFormat="1" x14ac:dyDescent="0.25">
      <c r="A373" s="233"/>
      <c r="B373" s="484"/>
      <c r="C373" s="476"/>
      <c r="D373" s="493"/>
      <c r="E373" s="493"/>
      <c r="F373" s="485"/>
      <c r="G373" s="217">
        <v>67173</v>
      </c>
      <c r="H373" s="221">
        <v>43406</v>
      </c>
      <c r="I373" s="200">
        <f>3991125.97/1.18</f>
        <v>3382310.1440677969</v>
      </c>
      <c r="J373" s="200">
        <f t="shared" si="99"/>
        <v>3991125.97</v>
      </c>
      <c r="K373" s="216"/>
      <c r="L373" s="222"/>
      <c r="M373" s="200"/>
      <c r="N373" s="200">
        <f>M373</f>
        <v>0</v>
      </c>
      <c r="O373" s="275"/>
      <c r="P373" s="200">
        <f t="shared" si="97"/>
        <v>0</v>
      </c>
      <c r="Q373" s="200">
        <f t="shared" si="97"/>
        <v>0</v>
      </c>
      <c r="S373" s="166"/>
    </row>
    <row r="374" spans="1:19" s="7" customFormat="1" x14ac:dyDescent="0.25">
      <c r="A374" s="233"/>
      <c r="B374" s="484"/>
      <c r="C374" s="476"/>
      <c r="D374" s="493"/>
      <c r="E374" s="493"/>
      <c r="F374" s="485"/>
      <c r="G374" s="217">
        <v>666</v>
      </c>
      <c r="H374" s="221">
        <v>43489</v>
      </c>
      <c r="I374" s="200">
        <f>1039287.1/1.18</f>
        <v>880751.779661017</v>
      </c>
      <c r="J374" s="200">
        <f t="shared" si="99"/>
        <v>1039287.1</v>
      </c>
      <c r="K374" s="216"/>
      <c r="L374" s="222"/>
      <c r="M374" s="200"/>
      <c r="N374" s="200"/>
      <c r="O374" s="275"/>
      <c r="P374" s="200">
        <f t="shared" si="97"/>
        <v>0</v>
      </c>
      <c r="Q374" s="200">
        <f t="shared" si="97"/>
        <v>0</v>
      </c>
      <c r="S374" s="166"/>
    </row>
    <row r="375" spans="1:19" s="7" customFormat="1" x14ac:dyDescent="0.25">
      <c r="A375" s="233"/>
      <c r="B375" s="484"/>
      <c r="C375" s="476"/>
      <c r="D375" s="493"/>
      <c r="E375" s="493"/>
      <c r="F375" s="485"/>
      <c r="G375" s="217">
        <v>1107</v>
      </c>
      <c r="H375" s="221">
        <v>43496</v>
      </c>
      <c r="I375" s="200">
        <f>1889265/1.18</f>
        <v>1601072.0338983051</v>
      </c>
      <c r="J375" s="200">
        <f t="shared" si="99"/>
        <v>1889265</v>
      </c>
      <c r="K375" s="216"/>
      <c r="L375" s="222"/>
      <c r="M375" s="200"/>
      <c r="N375" s="200"/>
      <c r="O375" s="275"/>
      <c r="P375" s="200">
        <f t="shared" si="97"/>
        <v>0</v>
      </c>
      <c r="Q375" s="200">
        <f t="shared" si="97"/>
        <v>0</v>
      </c>
      <c r="S375" s="166"/>
    </row>
    <row r="376" spans="1:19" s="7" customFormat="1" x14ac:dyDescent="0.25">
      <c r="A376" s="233"/>
      <c r="B376" s="484"/>
      <c r="C376" s="476"/>
      <c r="D376" s="493"/>
      <c r="E376" s="493"/>
      <c r="F376" s="485"/>
      <c r="G376" s="217">
        <v>1556</v>
      </c>
      <c r="H376" s="221">
        <v>43503</v>
      </c>
      <c r="I376" s="200">
        <f>1121554.5/1.18</f>
        <v>950469.91525423736</v>
      </c>
      <c r="J376" s="200">
        <f t="shared" si="99"/>
        <v>1121554.5</v>
      </c>
      <c r="K376" s="216"/>
      <c r="L376" s="222"/>
      <c r="M376" s="200"/>
      <c r="N376" s="200"/>
      <c r="O376" s="275"/>
      <c r="P376" s="200">
        <f t="shared" si="97"/>
        <v>0</v>
      </c>
      <c r="Q376" s="200">
        <f t="shared" si="97"/>
        <v>0</v>
      </c>
      <c r="S376" s="166"/>
    </row>
    <row r="377" spans="1:19" s="7" customFormat="1" x14ac:dyDescent="0.25">
      <c r="A377" s="233"/>
      <c r="B377" s="484"/>
      <c r="C377" s="476"/>
      <c r="D377" s="493"/>
      <c r="E377" s="493"/>
      <c r="F377" s="485"/>
      <c r="G377" s="217">
        <v>2351</v>
      </c>
      <c r="H377" s="221">
        <v>43518</v>
      </c>
      <c r="I377" s="200">
        <f>2971852/1.18</f>
        <v>2518518.6440677969</v>
      </c>
      <c r="J377" s="200">
        <f t="shared" si="99"/>
        <v>2971852</v>
      </c>
      <c r="K377" s="216"/>
      <c r="L377" s="222"/>
      <c r="M377" s="200"/>
      <c r="N377" s="200"/>
      <c r="O377" s="275"/>
      <c r="P377" s="200">
        <f t="shared" si="97"/>
        <v>0</v>
      </c>
      <c r="Q377" s="200">
        <f t="shared" si="97"/>
        <v>0</v>
      </c>
      <c r="S377" s="166"/>
    </row>
    <row r="378" spans="1:19" s="7" customFormat="1" x14ac:dyDescent="0.25">
      <c r="A378" s="233"/>
      <c r="B378" s="484"/>
      <c r="C378" s="476"/>
      <c r="D378" s="493"/>
      <c r="E378" s="493"/>
      <c r="F378" s="485"/>
      <c r="G378" s="217">
        <v>3021</v>
      </c>
      <c r="H378" s="221">
        <v>43529</v>
      </c>
      <c r="I378" s="200">
        <f>1494876/1.18</f>
        <v>1266844.0677966103</v>
      </c>
      <c r="J378" s="200">
        <f t="shared" si="99"/>
        <v>1494876</v>
      </c>
      <c r="K378" s="216"/>
      <c r="L378" s="222"/>
      <c r="M378" s="200"/>
      <c r="N378" s="200"/>
      <c r="O378" s="275"/>
      <c r="P378" s="200">
        <f t="shared" si="97"/>
        <v>0</v>
      </c>
      <c r="Q378" s="200">
        <f t="shared" si="97"/>
        <v>0</v>
      </c>
      <c r="S378" s="166"/>
    </row>
    <row r="379" spans="1:19" s="7" customFormat="1" x14ac:dyDescent="0.25">
      <c r="A379" s="233"/>
      <c r="B379" s="484"/>
      <c r="C379" s="476"/>
      <c r="D379" s="493"/>
      <c r="E379" s="493"/>
      <c r="F379" s="485"/>
      <c r="G379" s="217">
        <v>3682</v>
      </c>
      <c r="H379" s="221">
        <v>43543</v>
      </c>
      <c r="I379" s="200">
        <f>1467220/1.18</f>
        <v>1243406.779661017</v>
      </c>
      <c r="J379" s="200">
        <f t="shared" si="99"/>
        <v>1467220</v>
      </c>
      <c r="K379" s="216"/>
      <c r="L379" s="222"/>
      <c r="M379" s="200"/>
      <c r="N379" s="200"/>
      <c r="O379" s="275"/>
      <c r="P379" s="200">
        <f t="shared" ref="P379:Q389" si="100">M379</f>
        <v>0</v>
      </c>
      <c r="Q379" s="200">
        <f t="shared" si="100"/>
        <v>0</v>
      </c>
      <c r="S379" s="166"/>
    </row>
    <row r="380" spans="1:19" s="7" customFormat="1" x14ac:dyDescent="0.25">
      <c r="A380" s="233"/>
      <c r="B380" s="484"/>
      <c r="C380" s="476"/>
      <c r="D380" s="493"/>
      <c r="E380" s="493"/>
      <c r="F380" s="485"/>
      <c r="G380" s="217">
        <v>49433</v>
      </c>
      <c r="H380" s="221">
        <v>43735</v>
      </c>
      <c r="I380" s="200">
        <f>1647032.79/1.2</f>
        <v>1372527.3250000002</v>
      </c>
      <c r="J380" s="200">
        <f>I380*1.2</f>
        <v>1647032.7900000003</v>
      </c>
      <c r="K380" s="216"/>
      <c r="L380" s="222"/>
      <c r="M380" s="200"/>
      <c r="N380" s="200"/>
      <c r="O380" s="275"/>
      <c r="P380" s="200">
        <f t="shared" si="100"/>
        <v>0</v>
      </c>
      <c r="Q380" s="200">
        <f t="shared" si="100"/>
        <v>0</v>
      </c>
      <c r="S380" s="166"/>
    </row>
    <row r="381" spans="1:19" s="7" customFormat="1" x14ac:dyDescent="0.25">
      <c r="A381" s="233"/>
      <c r="B381" s="467"/>
      <c r="C381" s="469"/>
      <c r="D381" s="489"/>
      <c r="E381" s="489"/>
      <c r="F381" s="473"/>
      <c r="G381" s="217">
        <v>115</v>
      </c>
      <c r="H381" s="221">
        <v>43738</v>
      </c>
      <c r="I381" s="200">
        <f>160547.01/1.2</f>
        <v>133789.17500000002</v>
      </c>
      <c r="J381" s="200">
        <f>I381*1.2</f>
        <v>160547.01</v>
      </c>
      <c r="K381" s="216"/>
      <c r="L381" s="222"/>
      <c r="M381" s="200"/>
      <c r="N381" s="200">
        <f>M381*1.2</f>
        <v>0</v>
      </c>
      <c r="O381" s="275"/>
      <c r="P381" s="200">
        <f t="shared" si="100"/>
        <v>0</v>
      </c>
      <c r="Q381" s="200">
        <f t="shared" si="100"/>
        <v>0</v>
      </c>
      <c r="S381" s="166"/>
    </row>
    <row r="382" spans="1:19" s="7" customFormat="1" x14ac:dyDescent="0.25">
      <c r="A382" s="233"/>
      <c r="B382" s="466" t="s">
        <v>2555</v>
      </c>
      <c r="C382" s="468" t="s">
        <v>2554</v>
      </c>
      <c r="D382" s="488" t="s">
        <v>2553</v>
      </c>
      <c r="E382" s="468"/>
      <c r="F382" s="474">
        <f>SUM(J382:J387)</f>
        <v>1629602.02</v>
      </c>
      <c r="G382" s="217">
        <v>48081</v>
      </c>
      <c r="H382" s="221">
        <v>43712</v>
      </c>
      <c r="I382" s="200">
        <f>445184.53/1.2</f>
        <v>370987.1083333334</v>
      </c>
      <c r="J382" s="200">
        <f>I382*1.2</f>
        <v>445184.53000000009</v>
      </c>
      <c r="K382" s="216">
        <v>87</v>
      </c>
      <c r="L382" s="222">
        <v>43721</v>
      </c>
      <c r="M382" s="200">
        <f>27848.56/1.2</f>
        <v>23207.133333333335</v>
      </c>
      <c r="N382" s="200">
        <f>M382*1.18</f>
        <v>27384.417333333335</v>
      </c>
      <c r="O382" s="275"/>
      <c r="P382" s="200">
        <f t="shared" si="100"/>
        <v>23207.133333333335</v>
      </c>
      <c r="Q382" s="200">
        <f t="shared" si="100"/>
        <v>27384.417333333335</v>
      </c>
      <c r="S382" s="166"/>
    </row>
    <row r="383" spans="1:19" s="7" customFormat="1" x14ac:dyDescent="0.25">
      <c r="A383" s="233"/>
      <c r="B383" s="484"/>
      <c r="C383" s="476"/>
      <c r="D383" s="493"/>
      <c r="E383" s="476"/>
      <c r="F383" s="515"/>
      <c r="G383" s="217">
        <v>49207</v>
      </c>
      <c r="H383" s="221">
        <v>43734</v>
      </c>
      <c r="I383" s="200">
        <f>1001637.28/1.2</f>
        <v>834697.7333333334</v>
      </c>
      <c r="J383" s="200">
        <f>I383*1.2</f>
        <v>1001637.28</v>
      </c>
      <c r="K383" s="216">
        <v>85</v>
      </c>
      <c r="L383" s="222">
        <v>43721</v>
      </c>
      <c r="M383" s="200">
        <f>1367486.31/1.2</f>
        <v>1139571.925</v>
      </c>
      <c r="N383" s="200">
        <f>M383*1.2</f>
        <v>1367486.31</v>
      </c>
      <c r="O383" s="275"/>
      <c r="P383" s="200">
        <f t="shared" si="100"/>
        <v>1139571.925</v>
      </c>
      <c r="Q383" s="200">
        <f t="shared" si="100"/>
        <v>1367486.31</v>
      </c>
      <c r="S383" s="166"/>
    </row>
    <row r="384" spans="1:19" s="7" customFormat="1" x14ac:dyDescent="0.25">
      <c r="A384" s="233"/>
      <c r="B384" s="484"/>
      <c r="C384" s="476"/>
      <c r="D384" s="493"/>
      <c r="E384" s="476"/>
      <c r="F384" s="515"/>
      <c r="G384" s="217">
        <v>283880</v>
      </c>
      <c r="H384" s="221">
        <v>43795</v>
      </c>
      <c r="I384" s="200">
        <f>7896/1.2</f>
        <v>6580</v>
      </c>
      <c r="J384" s="200">
        <f t="shared" ref="J384:J387" si="101">I384*1.2</f>
        <v>7896</v>
      </c>
      <c r="K384" s="216">
        <v>86</v>
      </c>
      <c r="L384" s="222">
        <v>43721</v>
      </c>
      <c r="M384" s="200">
        <f>69090.43/1.2</f>
        <v>57575.35833333333</v>
      </c>
      <c r="N384" s="200">
        <f>M384</f>
        <v>57575.35833333333</v>
      </c>
      <c r="O384" s="275"/>
      <c r="P384" s="200">
        <f t="shared" si="100"/>
        <v>57575.35833333333</v>
      </c>
      <c r="Q384" s="200">
        <f t="shared" si="100"/>
        <v>57575.35833333333</v>
      </c>
      <c r="S384" s="166"/>
    </row>
    <row r="385" spans="1:19" s="7" customFormat="1" x14ac:dyDescent="0.25">
      <c r="A385" s="233"/>
      <c r="B385" s="484"/>
      <c r="C385" s="476"/>
      <c r="D385" s="493"/>
      <c r="E385" s="476"/>
      <c r="F385" s="515"/>
      <c r="G385" s="217">
        <v>520</v>
      </c>
      <c r="H385" s="221">
        <v>43850</v>
      </c>
      <c r="I385" s="200">
        <f>38609.68/1.2</f>
        <v>32174.733333333334</v>
      </c>
      <c r="J385" s="200">
        <f t="shared" si="101"/>
        <v>38609.68</v>
      </c>
      <c r="K385" s="216"/>
      <c r="L385" s="222"/>
      <c r="M385" s="200"/>
      <c r="N385" s="200">
        <f t="shared" ref="N385:N387" si="102">M385</f>
        <v>0</v>
      </c>
      <c r="O385" s="275"/>
      <c r="P385" s="200">
        <f t="shared" si="100"/>
        <v>0</v>
      </c>
      <c r="Q385" s="200">
        <f t="shared" si="100"/>
        <v>0</v>
      </c>
      <c r="S385" s="166"/>
    </row>
    <row r="386" spans="1:19" s="7" customFormat="1" x14ac:dyDescent="0.25">
      <c r="A386" s="233"/>
      <c r="B386" s="484"/>
      <c r="C386" s="476"/>
      <c r="D386" s="493"/>
      <c r="E386" s="476"/>
      <c r="F386" s="515"/>
      <c r="G386" s="217">
        <v>1663</v>
      </c>
      <c r="H386" s="221" t="s">
        <v>2556</v>
      </c>
      <c r="I386" s="200">
        <f>45967.69/1.2</f>
        <v>38306.40833333334</v>
      </c>
      <c r="J386" s="200">
        <f t="shared" si="101"/>
        <v>45967.69000000001</v>
      </c>
      <c r="K386" s="216"/>
      <c r="L386" s="222"/>
      <c r="M386" s="200"/>
      <c r="N386" s="200">
        <f t="shared" si="102"/>
        <v>0</v>
      </c>
      <c r="O386" s="275"/>
      <c r="P386" s="200">
        <f t="shared" si="100"/>
        <v>0</v>
      </c>
      <c r="Q386" s="200">
        <f t="shared" si="100"/>
        <v>0</v>
      </c>
      <c r="S386" s="166"/>
    </row>
    <row r="387" spans="1:19" s="7" customFormat="1" x14ac:dyDescent="0.25">
      <c r="A387" s="233"/>
      <c r="B387" s="484"/>
      <c r="C387" s="476"/>
      <c r="D387" s="493"/>
      <c r="E387" s="476"/>
      <c r="F387" s="516"/>
      <c r="G387" s="217">
        <v>65663</v>
      </c>
      <c r="H387" s="221">
        <v>44033</v>
      </c>
      <c r="I387" s="200">
        <f>90306.84/1.2</f>
        <v>75255.7</v>
      </c>
      <c r="J387" s="200">
        <f t="shared" si="101"/>
        <v>90306.84</v>
      </c>
      <c r="K387" s="216"/>
      <c r="L387" s="222"/>
      <c r="M387" s="200"/>
      <c r="N387" s="200">
        <f t="shared" si="102"/>
        <v>0</v>
      </c>
      <c r="O387" s="275"/>
      <c r="P387" s="200">
        <f t="shared" si="100"/>
        <v>0</v>
      </c>
      <c r="Q387" s="200">
        <f t="shared" si="100"/>
        <v>0</v>
      </c>
      <c r="S387" s="166"/>
    </row>
    <row r="388" spans="1:19" s="7" customFormat="1" ht="36" customHeight="1" x14ac:dyDescent="0.25">
      <c r="A388" s="305"/>
      <c r="B388" s="318" t="s">
        <v>2558</v>
      </c>
      <c r="C388" s="346"/>
      <c r="D388" s="346"/>
      <c r="E388" s="346"/>
      <c r="F388" s="345"/>
      <c r="G388" s="217">
        <v>115</v>
      </c>
      <c r="H388" s="221">
        <v>43738</v>
      </c>
      <c r="I388" s="200">
        <f>160547.01/1.2</f>
        <v>133789.17500000002</v>
      </c>
      <c r="J388" s="200">
        <f>I388*1.2</f>
        <v>160547.01</v>
      </c>
      <c r="K388" s="315">
        <v>159</v>
      </c>
      <c r="L388" s="327">
        <v>43455</v>
      </c>
      <c r="M388" s="200">
        <v>136056.79</v>
      </c>
      <c r="N388" s="200">
        <f>M388*1.18</f>
        <v>160547.0122</v>
      </c>
      <c r="O388" s="321"/>
      <c r="P388" s="200">
        <f t="shared" si="100"/>
        <v>136056.79</v>
      </c>
      <c r="Q388" s="200">
        <f t="shared" si="100"/>
        <v>160547.0122</v>
      </c>
      <c r="R388" s="165"/>
      <c r="S388" s="166"/>
    </row>
    <row r="389" spans="1:19" s="7" customFormat="1" ht="36.75" x14ac:dyDescent="0.25">
      <c r="A389" s="447"/>
      <c r="B389" s="466" t="s">
        <v>2625</v>
      </c>
      <c r="C389" s="488" t="s">
        <v>2597</v>
      </c>
      <c r="D389" s="488" t="s">
        <v>2551</v>
      </c>
      <c r="E389" s="488"/>
      <c r="F389" s="472">
        <f>SUM(J389:J408)</f>
        <v>45847526.32</v>
      </c>
      <c r="G389" s="217">
        <v>1803</v>
      </c>
      <c r="H389" s="221">
        <v>43509</v>
      </c>
      <c r="I389" s="200">
        <f>1679849.51/1.2</f>
        <v>1399874.5916666668</v>
      </c>
      <c r="J389" s="200">
        <f>I389*1.2</f>
        <v>1679849.51</v>
      </c>
      <c r="K389" s="468">
        <v>903401</v>
      </c>
      <c r="L389" s="470">
        <v>43493</v>
      </c>
      <c r="M389" s="474">
        <f>42920339.56/1.2</f>
        <v>35766949.63333334</v>
      </c>
      <c r="N389" s="474">
        <f>M389*1.2</f>
        <v>42920339.56000001</v>
      </c>
      <c r="O389" s="501"/>
      <c r="P389" s="474">
        <f t="shared" si="100"/>
        <v>35766949.63333334</v>
      </c>
      <c r="Q389" s="474">
        <f t="shared" si="100"/>
        <v>42920339.56000001</v>
      </c>
      <c r="R389" s="169" t="s">
        <v>2292</v>
      </c>
      <c r="S389" s="166"/>
    </row>
    <row r="390" spans="1:19" s="7" customFormat="1" ht="15" x14ac:dyDescent="0.25">
      <c r="A390" s="448"/>
      <c r="B390" s="484"/>
      <c r="C390" s="493"/>
      <c r="D390" s="493"/>
      <c r="E390" s="493"/>
      <c r="F390" s="485"/>
      <c r="G390" s="217">
        <v>67582</v>
      </c>
      <c r="H390" s="221">
        <v>43416</v>
      </c>
      <c r="I390" s="200">
        <f>1717496.99/1.18</f>
        <v>1455505.9237288137</v>
      </c>
      <c r="J390" s="200">
        <f t="shared" ref="J390:J398" si="103">I390*1.18</f>
        <v>1717496.99</v>
      </c>
      <c r="K390" s="476"/>
      <c r="L390" s="477"/>
      <c r="M390" s="496"/>
      <c r="N390" s="496"/>
      <c r="O390" s="502"/>
      <c r="P390" s="496"/>
      <c r="Q390" s="496"/>
      <c r="R390" s="165"/>
      <c r="S390" s="166"/>
    </row>
    <row r="391" spans="1:19" s="7" customFormat="1" ht="15" x14ac:dyDescent="0.25">
      <c r="A391" s="448"/>
      <c r="B391" s="484"/>
      <c r="C391" s="493"/>
      <c r="D391" s="493"/>
      <c r="E391" s="493"/>
      <c r="F391" s="485"/>
      <c r="G391" s="217">
        <v>70176</v>
      </c>
      <c r="H391" s="221">
        <v>43463</v>
      </c>
      <c r="I391" s="200">
        <f>1804733.91/1.18</f>
        <v>1529435.5169491526</v>
      </c>
      <c r="J391" s="200">
        <f t="shared" si="103"/>
        <v>1804733.91</v>
      </c>
      <c r="K391" s="476"/>
      <c r="L391" s="477"/>
      <c r="M391" s="496"/>
      <c r="N391" s="496"/>
      <c r="O391" s="502"/>
      <c r="P391" s="496"/>
      <c r="Q391" s="496"/>
      <c r="R391" s="165"/>
      <c r="S391" s="166"/>
    </row>
    <row r="392" spans="1:19" s="7" customFormat="1" ht="15" x14ac:dyDescent="0.25">
      <c r="A392" s="448"/>
      <c r="B392" s="484"/>
      <c r="C392" s="493"/>
      <c r="D392" s="493"/>
      <c r="E392" s="493"/>
      <c r="F392" s="485"/>
      <c r="G392" s="217">
        <v>67582</v>
      </c>
      <c r="H392" s="221">
        <v>43416</v>
      </c>
      <c r="I392" s="200">
        <f>1717496.99/1.18</f>
        <v>1455505.9237288137</v>
      </c>
      <c r="J392" s="200">
        <f t="shared" si="103"/>
        <v>1717496.99</v>
      </c>
      <c r="K392" s="476"/>
      <c r="L392" s="477"/>
      <c r="M392" s="496"/>
      <c r="N392" s="496"/>
      <c r="O392" s="502"/>
      <c r="P392" s="496"/>
      <c r="Q392" s="496"/>
      <c r="R392" s="165"/>
      <c r="S392" s="166"/>
    </row>
    <row r="393" spans="1:19" s="7" customFormat="1" ht="15" x14ac:dyDescent="0.25">
      <c r="A393" s="448"/>
      <c r="B393" s="484"/>
      <c r="C393" s="493"/>
      <c r="D393" s="493"/>
      <c r="E393" s="493"/>
      <c r="F393" s="485"/>
      <c r="G393" s="217">
        <v>66511</v>
      </c>
      <c r="H393" s="221">
        <v>43395</v>
      </c>
      <c r="I393" s="200">
        <f>1706542.81/1.18</f>
        <v>1446222.7203389832</v>
      </c>
      <c r="J393" s="200">
        <f t="shared" si="103"/>
        <v>1706542.81</v>
      </c>
      <c r="K393" s="476"/>
      <c r="L393" s="477"/>
      <c r="M393" s="496"/>
      <c r="N393" s="496"/>
      <c r="O393" s="502"/>
      <c r="P393" s="496"/>
      <c r="Q393" s="496"/>
      <c r="R393" s="165"/>
      <c r="S393" s="166"/>
    </row>
    <row r="394" spans="1:19" s="7" customFormat="1" ht="15" x14ac:dyDescent="0.25">
      <c r="A394" s="448"/>
      <c r="B394" s="484"/>
      <c r="C394" s="493"/>
      <c r="D394" s="493"/>
      <c r="E394" s="493"/>
      <c r="F394" s="485"/>
      <c r="G394" s="217">
        <v>65451</v>
      </c>
      <c r="H394" s="221">
        <v>43374</v>
      </c>
      <c r="I394" s="200">
        <f>1727053.29/1.18</f>
        <v>1463604.4830508477</v>
      </c>
      <c r="J394" s="200">
        <f t="shared" si="103"/>
        <v>1727053.29</v>
      </c>
      <c r="K394" s="476"/>
      <c r="L394" s="477"/>
      <c r="M394" s="496"/>
      <c r="N394" s="496"/>
      <c r="O394" s="502"/>
      <c r="P394" s="496"/>
      <c r="Q394" s="496"/>
      <c r="R394" s="165"/>
      <c r="S394" s="166"/>
    </row>
    <row r="395" spans="1:19" s="7" customFormat="1" ht="15" x14ac:dyDescent="0.25">
      <c r="A395" s="448"/>
      <c r="B395" s="484"/>
      <c r="C395" s="493"/>
      <c r="D395" s="493"/>
      <c r="E395" s="493"/>
      <c r="F395" s="485"/>
      <c r="G395" s="217">
        <v>39689</v>
      </c>
      <c r="H395" s="221">
        <v>43311</v>
      </c>
      <c r="I395" s="200">
        <f>8308430.98/1.18</f>
        <v>7041043.2033898309</v>
      </c>
      <c r="J395" s="200">
        <f t="shared" si="103"/>
        <v>8308430.9800000004</v>
      </c>
      <c r="K395" s="476"/>
      <c r="L395" s="477"/>
      <c r="M395" s="496"/>
      <c r="N395" s="496"/>
      <c r="O395" s="502"/>
      <c r="P395" s="496"/>
      <c r="Q395" s="496"/>
      <c r="R395" s="165"/>
      <c r="S395" s="166"/>
    </row>
    <row r="396" spans="1:19" s="7" customFormat="1" ht="15" x14ac:dyDescent="0.25">
      <c r="A396" s="448"/>
      <c r="B396" s="484"/>
      <c r="C396" s="493"/>
      <c r="D396" s="493"/>
      <c r="E396" s="493"/>
      <c r="F396" s="485"/>
      <c r="G396" s="217">
        <v>2951</v>
      </c>
      <c r="H396" s="221">
        <v>43529</v>
      </c>
      <c r="I396" s="200">
        <f>1693395.53/1.18</f>
        <v>1435080.9576271188</v>
      </c>
      <c r="J396" s="200">
        <f t="shared" si="103"/>
        <v>1693395.53</v>
      </c>
      <c r="K396" s="476"/>
      <c r="L396" s="477"/>
      <c r="M396" s="496"/>
      <c r="N396" s="496"/>
      <c r="O396" s="502"/>
      <c r="P396" s="496"/>
      <c r="Q396" s="496"/>
      <c r="R396" s="165"/>
      <c r="S396" s="166"/>
    </row>
    <row r="397" spans="1:19" s="7" customFormat="1" ht="15" x14ac:dyDescent="0.25">
      <c r="A397" s="448"/>
      <c r="B397" s="484"/>
      <c r="C397" s="493"/>
      <c r="D397" s="493"/>
      <c r="E397" s="493"/>
      <c r="F397" s="485"/>
      <c r="G397" s="217">
        <v>3646</v>
      </c>
      <c r="H397" s="221">
        <v>43543</v>
      </c>
      <c r="I397" s="200">
        <f>1662066.82/1.18</f>
        <v>1408531.2033898307</v>
      </c>
      <c r="J397" s="200">
        <f t="shared" si="103"/>
        <v>1662066.82</v>
      </c>
      <c r="K397" s="476"/>
      <c r="L397" s="477"/>
      <c r="M397" s="496"/>
      <c r="N397" s="496"/>
      <c r="O397" s="502"/>
      <c r="P397" s="496"/>
      <c r="Q397" s="496"/>
      <c r="R397" s="165"/>
      <c r="S397" s="166"/>
    </row>
    <row r="398" spans="1:19" s="7" customFormat="1" ht="15" x14ac:dyDescent="0.25">
      <c r="A398" s="448"/>
      <c r="B398" s="484"/>
      <c r="C398" s="493"/>
      <c r="D398" s="493"/>
      <c r="E398" s="493"/>
      <c r="F398" s="485"/>
      <c r="G398" s="217">
        <v>41383</v>
      </c>
      <c r="H398" s="221">
        <v>43580</v>
      </c>
      <c r="I398" s="200">
        <f>1624775.04/1.18</f>
        <v>1376928</v>
      </c>
      <c r="J398" s="200">
        <f t="shared" si="103"/>
        <v>1624775.0399999998</v>
      </c>
      <c r="K398" s="476"/>
      <c r="L398" s="477"/>
      <c r="M398" s="496"/>
      <c r="N398" s="496"/>
      <c r="O398" s="502"/>
      <c r="P398" s="496"/>
      <c r="Q398" s="496"/>
      <c r="R398" s="165"/>
      <c r="S398" s="166"/>
    </row>
    <row r="399" spans="1:19" s="7" customFormat="1" ht="15" x14ac:dyDescent="0.25">
      <c r="A399" s="448"/>
      <c r="B399" s="484"/>
      <c r="C399" s="493"/>
      <c r="D399" s="493"/>
      <c r="E399" s="493"/>
      <c r="F399" s="485"/>
      <c r="G399" s="217">
        <v>43065</v>
      </c>
      <c r="H399" s="221">
        <v>43619</v>
      </c>
      <c r="I399" s="200">
        <f>1650344.6/1.2</f>
        <v>1375287.1666666667</v>
      </c>
      <c r="J399" s="200">
        <f>I399*1.2</f>
        <v>1650344.6</v>
      </c>
      <c r="K399" s="476"/>
      <c r="L399" s="477"/>
      <c r="M399" s="496"/>
      <c r="N399" s="496"/>
      <c r="O399" s="502"/>
      <c r="P399" s="496"/>
      <c r="Q399" s="496"/>
      <c r="R399" s="165"/>
      <c r="S399" s="166"/>
    </row>
    <row r="400" spans="1:19" s="7" customFormat="1" ht="15" x14ac:dyDescent="0.25">
      <c r="A400" s="448"/>
      <c r="B400" s="484"/>
      <c r="C400" s="493"/>
      <c r="D400" s="493"/>
      <c r="E400" s="493"/>
      <c r="F400" s="485"/>
      <c r="G400" s="217">
        <v>46305</v>
      </c>
      <c r="H400" s="221">
        <v>43683</v>
      </c>
      <c r="I400" s="200">
        <f>1639687.23/1.2</f>
        <v>1366406.0250000001</v>
      </c>
      <c r="J400" s="200">
        <f t="shared" ref="J400:J408" si="104">I400*1.2</f>
        <v>1639687.2300000002</v>
      </c>
      <c r="K400" s="476"/>
      <c r="L400" s="477"/>
      <c r="M400" s="496"/>
      <c r="N400" s="496"/>
      <c r="O400" s="502"/>
      <c r="P400" s="496"/>
      <c r="Q400" s="496"/>
      <c r="R400" s="165"/>
      <c r="S400" s="166"/>
    </row>
    <row r="401" spans="1:19" s="7" customFormat="1" ht="15" x14ac:dyDescent="0.25">
      <c r="A401" s="448"/>
      <c r="B401" s="484"/>
      <c r="C401" s="493"/>
      <c r="D401" s="493"/>
      <c r="E401" s="493"/>
      <c r="F401" s="485"/>
      <c r="G401" s="217">
        <v>47250</v>
      </c>
      <c r="H401" s="221">
        <v>43697</v>
      </c>
      <c r="I401" s="200">
        <f>1675374.95/1.2</f>
        <v>1396145.7916666667</v>
      </c>
      <c r="J401" s="200">
        <f t="shared" si="104"/>
        <v>1675374.95</v>
      </c>
      <c r="K401" s="476"/>
      <c r="L401" s="477"/>
      <c r="M401" s="496"/>
      <c r="N401" s="496"/>
      <c r="O401" s="502"/>
      <c r="P401" s="496"/>
      <c r="Q401" s="496"/>
      <c r="R401" s="165"/>
      <c r="S401" s="166"/>
    </row>
    <row r="402" spans="1:19" s="7" customFormat="1" ht="15" x14ac:dyDescent="0.25">
      <c r="A402" s="448"/>
      <c r="B402" s="484"/>
      <c r="C402" s="493"/>
      <c r="D402" s="493"/>
      <c r="E402" s="493"/>
      <c r="F402" s="485"/>
      <c r="G402" s="217">
        <v>49200</v>
      </c>
      <c r="H402" s="221">
        <v>43734</v>
      </c>
      <c r="I402" s="200">
        <f>1599214.54/1.2</f>
        <v>1332678.7833333334</v>
      </c>
      <c r="J402" s="200">
        <f t="shared" si="104"/>
        <v>1599214.54</v>
      </c>
      <c r="K402" s="476"/>
      <c r="L402" s="477"/>
      <c r="M402" s="496"/>
      <c r="N402" s="496"/>
      <c r="O402" s="502"/>
      <c r="P402" s="496"/>
      <c r="Q402" s="496"/>
      <c r="R402" s="165"/>
      <c r="S402" s="166"/>
    </row>
    <row r="403" spans="1:19" s="7" customFormat="1" ht="15" x14ac:dyDescent="0.25">
      <c r="A403" s="448"/>
      <c r="B403" s="484"/>
      <c r="C403" s="493"/>
      <c r="D403" s="493"/>
      <c r="E403" s="493"/>
      <c r="F403" s="485"/>
      <c r="G403" s="217">
        <v>49201</v>
      </c>
      <c r="H403" s="221">
        <v>43734</v>
      </c>
      <c r="I403" s="200">
        <f>1599214.54/1.2</f>
        <v>1332678.7833333334</v>
      </c>
      <c r="J403" s="200">
        <f t="shared" si="104"/>
        <v>1599214.54</v>
      </c>
      <c r="K403" s="476"/>
      <c r="L403" s="477"/>
      <c r="M403" s="496"/>
      <c r="N403" s="496"/>
      <c r="O403" s="502"/>
      <c r="P403" s="496"/>
      <c r="Q403" s="496"/>
      <c r="R403" s="165"/>
      <c r="S403" s="166"/>
    </row>
    <row r="404" spans="1:19" s="7" customFormat="1" ht="15" x14ac:dyDescent="0.25">
      <c r="A404" s="448"/>
      <c r="B404" s="484"/>
      <c r="C404" s="493"/>
      <c r="D404" s="493"/>
      <c r="E404" s="493"/>
      <c r="F404" s="485"/>
      <c r="G404" s="217">
        <v>49202</v>
      </c>
      <c r="H404" s="221">
        <v>43734</v>
      </c>
      <c r="I404" s="200">
        <f>1599214.54/1.2</f>
        <v>1332678.7833333334</v>
      </c>
      <c r="J404" s="200">
        <f t="shared" si="104"/>
        <v>1599214.54</v>
      </c>
      <c r="K404" s="476"/>
      <c r="L404" s="477"/>
      <c r="M404" s="496"/>
      <c r="N404" s="496"/>
      <c r="O404" s="502"/>
      <c r="P404" s="496"/>
      <c r="Q404" s="496"/>
      <c r="R404" s="165"/>
      <c r="S404" s="166"/>
    </row>
    <row r="405" spans="1:19" s="7" customFormat="1" ht="15" x14ac:dyDescent="0.25">
      <c r="A405" s="448"/>
      <c r="B405" s="484"/>
      <c r="C405" s="493"/>
      <c r="D405" s="493"/>
      <c r="E405" s="493"/>
      <c r="F405" s="485"/>
      <c r="G405" s="217">
        <v>285480</v>
      </c>
      <c r="H405" s="221">
        <v>43824</v>
      </c>
      <c r="I405" s="200">
        <f>1561138.87/1.2</f>
        <v>1300949.0583333336</v>
      </c>
      <c r="J405" s="200">
        <f t="shared" si="104"/>
        <v>1561138.8700000003</v>
      </c>
      <c r="K405" s="476"/>
      <c r="L405" s="477"/>
      <c r="M405" s="496"/>
      <c r="N405" s="496"/>
      <c r="O405" s="502"/>
      <c r="P405" s="496"/>
      <c r="Q405" s="496"/>
      <c r="R405" s="165"/>
      <c r="S405" s="166"/>
    </row>
    <row r="406" spans="1:19" s="7" customFormat="1" ht="15" x14ac:dyDescent="0.25">
      <c r="A406" s="448"/>
      <c r="B406" s="484"/>
      <c r="C406" s="493"/>
      <c r="D406" s="493"/>
      <c r="E406" s="493"/>
      <c r="F406" s="485"/>
      <c r="G406" s="217">
        <v>285682</v>
      </c>
      <c r="H406" s="221">
        <v>43826</v>
      </c>
      <c r="I406" s="200">
        <f>3103885.6/1.2</f>
        <v>2586571.3333333335</v>
      </c>
      <c r="J406" s="200">
        <f t="shared" si="104"/>
        <v>3103885.6</v>
      </c>
      <c r="K406" s="476"/>
      <c r="L406" s="477"/>
      <c r="M406" s="496"/>
      <c r="N406" s="496"/>
      <c r="O406" s="502"/>
      <c r="P406" s="496"/>
      <c r="Q406" s="496"/>
      <c r="R406" s="165"/>
      <c r="S406" s="166"/>
    </row>
    <row r="407" spans="1:19" s="7" customFormat="1" ht="15" x14ac:dyDescent="0.25">
      <c r="A407" s="448"/>
      <c r="B407" s="484"/>
      <c r="C407" s="493"/>
      <c r="D407" s="493"/>
      <c r="E407" s="493"/>
      <c r="F407" s="485"/>
      <c r="G407" s="217">
        <v>1029</v>
      </c>
      <c r="H407" s="221">
        <v>43859</v>
      </c>
      <c r="I407" s="200">
        <f>1568384.26/1.2</f>
        <v>1306986.8833333333</v>
      </c>
      <c r="J407" s="200">
        <f t="shared" si="104"/>
        <v>1568384.26</v>
      </c>
      <c r="K407" s="476"/>
      <c r="L407" s="477"/>
      <c r="M407" s="496"/>
      <c r="N407" s="496"/>
      <c r="O407" s="502"/>
      <c r="P407" s="496"/>
      <c r="Q407" s="496"/>
      <c r="R407" s="165"/>
      <c r="S407" s="166"/>
    </row>
    <row r="408" spans="1:19" s="7" customFormat="1" ht="15" x14ac:dyDescent="0.25">
      <c r="A408" s="449"/>
      <c r="B408" s="467"/>
      <c r="C408" s="489"/>
      <c r="D408" s="489"/>
      <c r="E408" s="489"/>
      <c r="F408" s="473"/>
      <c r="G408" s="217">
        <v>61488</v>
      </c>
      <c r="H408" s="221">
        <v>43951</v>
      </c>
      <c r="I408" s="200">
        <f>6209225.32/1.2</f>
        <v>5174354.4333333336</v>
      </c>
      <c r="J408" s="200">
        <f t="shared" si="104"/>
        <v>6209225.3200000003</v>
      </c>
      <c r="K408" s="469"/>
      <c r="L408" s="471"/>
      <c r="M408" s="475"/>
      <c r="N408" s="475"/>
      <c r="O408" s="503"/>
      <c r="P408" s="475"/>
      <c r="Q408" s="475"/>
      <c r="R408" s="165"/>
      <c r="S408" s="166"/>
    </row>
    <row r="409" spans="1:19" s="7" customFormat="1" ht="15" x14ac:dyDescent="0.25">
      <c r="A409" s="447"/>
      <c r="B409" s="466" t="s">
        <v>2448</v>
      </c>
      <c r="C409" s="488" t="s">
        <v>2388</v>
      </c>
      <c r="D409" s="488" t="s">
        <v>2610</v>
      </c>
      <c r="E409" s="488"/>
      <c r="F409" s="472">
        <v>500684</v>
      </c>
      <c r="G409" s="217">
        <v>41644</v>
      </c>
      <c r="H409" s="221">
        <v>43585</v>
      </c>
      <c r="I409" s="200">
        <f>250342</f>
        <v>250342</v>
      </c>
      <c r="J409" s="200">
        <f>I409</f>
        <v>250342</v>
      </c>
      <c r="K409" s="468">
        <v>1</v>
      </c>
      <c r="L409" s="470">
        <v>43573</v>
      </c>
      <c r="M409" s="474">
        <f>I409+I410</f>
        <v>500684</v>
      </c>
      <c r="N409" s="474">
        <f>J409+J410</f>
        <v>500684</v>
      </c>
      <c r="O409" s="501"/>
      <c r="P409" s="474">
        <f t="shared" ref="P409:Q411" si="105">M409</f>
        <v>500684</v>
      </c>
      <c r="Q409" s="474">
        <f>N409</f>
        <v>500684</v>
      </c>
      <c r="S409" s="166"/>
    </row>
    <row r="410" spans="1:19" s="7" customFormat="1" ht="15" x14ac:dyDescent="0.25">
      <c r="A410" s="449"/>
      <c r="B410" s="467"/>
      <c r="C410" s="489"/>
      <c r="D410" s="489"/>
      <c r="E410" s="489"/>
      <c r="F410" s="473"/>
      <c r="G410" s="217">
        <v>28417</v>
      </c>
      <c r="H410" s="221">
        <v>43553</v>
      </c>
      <c r="I410" s="200">
        <f>250342</f>
        <v>250342</v>
      </c>
      <c r="J410" s="200">
        <f>I410</f>
        <v>250342</v>
      </c>
      <c r="K410" s="469"/>
      <c r="L410" s="471"/>
      <c r="M410" s="475"/>
      <c r="N410" s="475"/>
      <c r="O410" s="503"/>
      <c r="P410" s="475"/>
      <c r="Q410" s="475"/>
      <c r="S410" s="166"/>
    </row>
    <row r="411" spans="1:19" s="7" customFormat="1" ht="78.75" x14ac:dyDescent="0.25">
      <c r="A411" s="304"/>
      <c r="B411" s="319" t="s">
        <v>2722</v>
      </c>
      <c r="C411" s="315"/>
      <c r="D411" s="320"/>
      <c r="E411" s="220"/>
      <c r="F411" s="223"/>
      <c r="G411" s="217"/>
      <c r="H411" s="217"/>
      <c r="I411" s="200">
        <v>4298441.33</v>
      </c>
      <c r="J411" s="200">
        <f>I411</f>
        <v>4298441.33</v>
      </c>
      <c r="K411" s="216"/>
      <c r="L411" s="222"/>
      <c r="M411" s="200">
        <f t="shared" ref="M411:N411" si="106">I411</f>
        <v>4298441.33</v>
      </c>
      <c r="N411" s="200">
        <f t="shared" si="106"/>
        <v>4298441.33</v>
      </c>
      <c r="O411" s="275"/>
      <c r="P411" s="200">
        <f t="shared" si="105"/>
        <v>4298441.33</v>
      </c>
      <c r="Q411" s="200">
        <f t="shared" si="105"/>
        <v>4298441.33</v>
      </c>
      <c r="S411" s="167"/>
    </row>
    <row r="412" spans="1:19" x14ac:dyDescent="0.25">
      <c r="A412" s="215"/>
      <c r="B412" s="219" t="s">
        <v>2624</v>
      </c>
      <c r="C412" s="216"/>
      <c r="D412" s="234"/>
      <c r="E412" s="234"/>
      <c r="F412" s="200">
        <f>SUM(F14:F411)</f>
        <v>162787111.84738401</v>
      </c>
      <c r="G412" s="217"/>
      <c r="H412" s="217"/>
      <c r="I412" s="200">
        <f>SUM(I14:I411)</f>
        <v>306234531.50462031</v>
      </c>
      <c r="J412" s="200">
        <f>SUM(J14:J411)</f>
        <v>333856966.20528936</v>
      </c>
      <c r="K412" s="227"/>
      <c r="L412" s="227"/>
      <c r="M412" s="200">
        <f>SUM(M14:M411)</f>
        <v>313575588.57397062</v>
      </c>
      <c r="N412" s="200">
        <f>SUM(N14:N411)</f>
        <v>339590139.42661911</v>
      </c>
      <c r="O412" s="278"/>
      <c r="P412" s="200">
        <f>SUM(P14:P411)</f>
        <v>313575588.57397062</v>
      </c>
      <c r="Q412" s="200">
        <f>SUM(Q14:Q411)</f>
        <v>339590139.42661911</v>
      </c>
    </row>
    <row r="413" spans="1:19" x14ac:dyDescent="0.25">
      <c r="A413" s="235"/>
      <c r="B413" s="273"/>
      <c r="C413" s="236"/>
      <c r="D413" s="210"/>
      <c r="E413" s="210"/>
      <c r="F413" s="264"/>
      <c r="G413" s="237"/>
      <c r="H413" s="237"/>
      <c r="I413" s="238"/>
      <c r="J413" s="239"/>
      <c r="K413" s="236"/>
      <c r="L413" s="236"/>
      <c r="M413" s="279"/>
    </row>
    <row r="414" spans="1:19" x14ac:dyDescent="0.25">
      <c r="A414" s="235"/>
      <c r="B414" s="273"/>
      <c r="C414" s="236"/>
      <c r="D414" s="210"/>
      <c r="E414" s="210"/>
      <c r="F414" s="264"/>
      <c r="G414" s="237"/>
      <c r="H414" s="237"/>
      <c r="I414" s="238"/>
      <c r="J414" s="238"/>
      <c r="K414" s="236"/>
      <c r="L414" s="210"/>
      <c r="M414" s="280"/>
      <c r="Q414" s="214" t="s">
        <v>13</v>
      </c>
    </row>
    <row r="415" spans="1:19" ht="75" customHeight="1" x14ac:dyDescent="0.25">
      <c r="A415" s="387" t="s">
        <v>21</v>
      </c>
      <c r="B415" s="387"/>
      <c r="C415" s="387"/>
      <c r="D415" s="387"/>
      <c r="E415" s="387"/>
      <c r="F415" s="387"/>
      <c r="G415" s="387"/>
      <c r="H415" s="387"/>
      <c r="I415" s="387"/>
      <c r="J415" s="387"/>
      <c r="K415" s="387"/>
      <c r="L415" s="387"/>
      <c r="M415" s="387"/>
      <c r="N415" s="387"/>
      <c r="O415" s="387"/>
      <c r="P415" s="387"/>
      <c r="Q415" s="387"/>
    </row>
    <row r="416" spans="1:19" x14ac:dyDescent="0.25">
      <c r="A416" s="211"/>
      <c r="B416" s="272"/>
      <c r="C416" s="212"/>
      <c r="D416" s="212"/>
      <c r="E416" s="213"/>
      <c r="F416" s="263"/>
      <c r="G416" s="212"/>
      <c r="H416" s="212"/>
      <c r="I416" s="214"/>
      <c r="J416" s="214"/>
      <c r="K416" s="212"/>
      <c r="L416" s="212"/>
    </row>
    <row r="417" spans="1:17" ht="73.5" customHeight="1" x14ac:dyDescent="0.25">
      <c r="A417" s="215" t="s">
        <v>14</v>
      </c>
      <c r="B417" s="219" t="s">
        <v>0</v>
      </c>
      <c r="C417" s="216" t="s">
        <v>24</v>
      </c>
      <c r="D417" s="216" t="s">
        <v>25</v>
      </c>
      <c r="E417" s="216" t="s">
        <v>22</v>
      </c>
      <c r="F417" s="345" t="s">
        <v>11</v>
      </c>
      <c r="G417" s="217" t="s">
        <v>26</v>
      </c>
      <c r="H417" s="217" t="s">
        <v>27</v>
      </c>
      <c r="I417" s="218" t="s">
        <v>31</v>
      </c>
      <c r="J417" s="218" t="s">
        <v>39</v>
      </c>
      <c r="K417" s="216" t="s">
        <v>28</v>
      </c>
      <c r="L417" s="216" t="s">
        <v>29</v>
      </c>
      <c r="M417" s="218" t="s">
        <v>41</v>
      </c>
      <c r="N417" s="218" t="s">
        <v>40</v>
      </c>
      <c r="O417" s="216" t="s">
        <v>23</v>
      </c>
      <c r="P417" s="218" t="s">
        <v>30</v>
      </c>
      <c r="Q417" s="218" t="s">
        <v>42</v>
      </c>
    </row>
    <row r="418" spans="1:17" x14ac:dyDescent="0.25">
      <c r="A418" s="215">
        <v>1</v>
      </c>
      <c r="B418" s="219">
        <v>2</v>
      </c>
      <c r="C418" s="216">
        <v>3</v>
      </c>
      <c r="D418" s="216">
        <v>4</v>
      </c>
      <c r="E418" s="216">
        <v>5</v>
      </c>
      <c r="F418" s="216">
        <v>6</v>
      </c>
      <c r="G418" s="217">
        <v>7</v>
      </c>
      <c r="H418" s="217">
        <v>8</v>
      </c>
      <c r="I418" s="218">
        <v>9</v>
      </c>
      <c r="J418" s="218">
        <v>10</v>
      </c>
      <c r="K418" s="216">
        <v>11</v>
      </c>
      <c r="L418" s="216">
        <v>12</v>
      </c>
      <c r="M418" s="218">
        <v>13</v>
      </c>
      <c r="N418" s="218">
        <v>14</v>
      </c>
      <c r="O418" s="216">
        <v>15</v>
      </c>
      <c r="P418" s="218">
        <v>16</v>
      </c>
      <c r="Q418" s="218">
        <v>17</v>
      </c>
    </row>
    <row r="419" spans="1:17" ht="41.25" customHeight="1" x14ac:dyDescent="0.25">
      <c r="A419" s="215">
        <v>1</v>
      </c>
      <c r="B419" s="219" t="s">
        <v>37</v>
      </c>
      <c r="C419" s="217" t="s">
        <v>48</v>
      </c>
      <c r="D419" s="217" t="s">
        <v>48</v>
      </c>
      <c r="E419" s="217" t="s">
        <v>48</v>
      </c>
      <c r="F419" s="265" t="s">
        <v>48</v>
      </c>
      <c r="G419" s="217" t="s">
        <v>48</v>
      </c>
      <c r="H419" s="217" t="s">
        <v>48</v>
      </c>
      <c r="I419" s="240" t="s">
        <v>48</v>
      </c>
      <c r="J419" s="240" t="s">
        <v>48</v>
      </c>
      <c r="K419" s="217" t="s">
        <v>48</v>
      </c>
      <c r="L419" s="217" t="s">
        <v>48</v>
      </c>
      <c r="M419" s="275" t="s">
        <v>48</v>
      </c>
      <c r="N419" s="275" t="s">
        <v>48</v>
      </c>
      <c r="O419" s="281" t="s">
        <v>48</v>
      </c>
      <c r="P419" s="275" t="s">
        <v>48</v>
      </c>
      <c r="Q419" s="275" t="s">
        <v>48</v>
      </c>
    </row>
    <row r="420" spans="1:17" ht="46.5" customHeight="1" x14ac:dyDescent="0.25">
      <c r="A420" s="215">
        <v>2</v>
      </c>
      <c r="B420" s="219" t="s">
        <v>36</v>
      </c>
      <c r="C420" s="217" t="s">
        <v>48</v>
      </c>
      <c r="D420" s="217" t="s">
        <v>48</v>
      </c>
      <c r="E420" s="217" t="s">
        <v>48</v>
      </c>
      <c r="F420" s="265" t="s">
        <v>48</v>
      </c>
      <c r="G420" s="217" t="s">
        <v>48</v>
      </c>
      <c r="H420" s="217" t="s">
        <v>48</v>
      </c>
      <c r="I420" s="240" t="s">
        <v>48</v>
      </c>
      <c r="J420" s="240" t="s">
        <v>48</v>
      </c>
      <c r="K420" s="217" t="s">
        <v>48</v>
      </c>
      <c r="L420" s="217" t="s">
        <v>48</v>
      </c>
      <c r="M420" s="275" t="s">
        <v>48</v>
      </c>
      <c r="N420" s="275" t="s">
        <v>48</v>
      </c>
      <c r="O420" s="281" t="s">
        <v>48</v>
      </c>
      <c r="P420" s="275" t="s">
        <v>48</v>
      </c>
      <c r="Q420" s="275" t="s">
        <v>48</v>
      </c>
    </row>
    <row r="421" spans="1:17" ht="56.25" customHeight="1" x14ac:dyDescent="0.25">
      <c r="A421" s="215">
        <v>3</v>
      </c>
      <c r="B421" s="219" t="s">
        <v>35</v>
      </c>
      <c r="C421" s="217" t="s">
        <v>48</v>
      </c>
      <c r="D421" s="241" t="s">
        <v>48</v>
      </c>
      <c r="E421" s="241" t="s">
        <v>48</v>
      </c>
      <c r="F421" s="265" t="s">
        <v>48</v>
      </c>
      <c r="G421" s="217" t="s">
        <v>48</v>
      </c>
      <c r="H421" s="217" t="s">
        <v>48</v>
      </c>
      <c r="I421" s="240" t="s">
        <v>48</v>
      </c>
      <c r="J421" s="240" t="s">
        <v>48</v>
      </c>
      <c r="K421" s="217" t="s">
        <v>48</v>
      </c>
      <c r="L421" s="217" t="s">
        <v>48</v>
      </c>
      <c r="M421" s="275" t="s">
        <v>48</v>
      </c>
      <c r="N421" s="275" t="s">
        <v>48</v>
      </c>
      <c r="O421" s="281" t="s">
        <v>48</v>
      </c>
      <c r="P421" s="275" t="s">
        <v>48</v>
      </c>
      <c r="Q421" s="275" t="s">
        <v>48</v>
      </c>
    </row>
    <row r="422" spans="1:17" ht="38.25" customHeight="1" x14ac:dyDescent="0.25">
      <c r="A422" s="215">
        <v>4</v>
      </c>
      <c r="B422" s="307" t="s">
        <v>43</v>
      </c>
      <c r="C422" s="217" t="s">
        <v>48</v>
      </c>
      <c r="D422" s="241" t="s">
        <v>48</v>
      </c>
      <c r="E422" s="241" t="s">
        <v>48</v>
      </c>
      <c r="F422" s="265" t="s">
        <v>48</v>
      </c>
      <c r="G422" s="217" t="s">
        <v>48</v>
      </c>
      <c r="H422" s="217" t="s">
        <v>48</v>
      </c>
      <c r="I422" s="240" t="s">
        <v>48</v>
      </c>
      <c r="J422" s="240" t="s">
        <v>48</v>
      </c>
      <c r="K422" s="217" t="s">
        <v>48</v>
      </c>
      <c r="L422" s="217" t="s">
        <v>48</v>
      </c>
      <c r="M422" s="275" t="s">
        <v>48</v>
      </c>
      <c r="N422" s="275" t="s">
        <v>48</v>
      </c>
      <c r="O422" s="281" t="s">
        <v>48</v>
      </c>
      <c r="P422" s="275" t="s">
        <v>48</v>
      </c>
      <c r="Q422" s="275" t="s">
        <v>48</v>
      </c>
    </row>
    <row r="423" spans="1:17" ht="15.75" customHeight="1" x14ac:dyDescent="0.25">
      <c r="A423" s="497" t="s">
        <v>2819</v>
      </c>
      <c r="B423" s="466" t="s">
        <v>2234</v>
      </c>
      <c r="C423" s="468" t="s">
        <v>1745</v>
      </c>
      <c r="D423" s="488" t="s">
        <v>1744</v>
      </c>
      <c r="E423" s="488" t="s">
        <v>2243</v>
      </c>
      <c r="F423" s="524">
        <v>2025000</v>
      </c>
      <c r="G423" s="242">
        <v>3468</v>
      </c>
      <c r="H423" s="221">
        <v>43538</v>
      </c>
      <c r="I423" s="243">
        <f>1417500/1.2</f>
        <v>1181250</v>
      </c>
      <c r="J423" s="243">
        <f t="shared" ref="J423:J428" si="107">I423*1.2</f>
        <v>1417500</v>
      </c>
      <c r="K423" s="527">
        <v>469</v>
      </c>
      <c r="L423" s="529">
        <v>43776</v>
      </c>
      <c r="M423" s="520">
        <f>I423+I424</f>
        <v>1687500</v>
      </c>
      <c r="N423" s="520">
        <f>J423+J424</f>
        <v>2025000</v>
      </c>
      <c r="O423" s="522"/>
      <c r="P423" s="518">
        <f>M423</f>
        <v>1687500</v>
      </c>
      <c r="Q423" s="518">
        <f>N423</f>
        <v>2025000</v>
      </c>
    </row>
    <row r="424" spans="1:17" ht="15.75" customHeight="1" x14ac:dyDescent="0.25">
      <c r="A424" s="499"/>
      <c r="B424" s="467"/>
      <c r="C424" s="469"/>
      <c r="D424" s="489"/>
      <c r="E424" s="489"/>
      <c r="F424" s="526"/>
      <c r="G424" s="242">
        <v>63404</v>
      </c>
      <c r="H424" s="221">
        <v>43768</v>
      </c>
      <c r="I424" s="243">
        <f>607500/1.2</f>
        <v>506250</v>
      </c>
      <c r="J424" s="243">
        <f t="shared" si="107"/>
        <v>607500</v>
      </c>
      <c r="K424" s="528"/>
      <c r="L424" s="531"/>
      <c r="M424" s="521"/>
      <c r="N424" s="521"/>
      <c r="O424" s="523"/>
      <c r="P424" s="519"/>
      <c r="Q424" s="519"/>
    </row>
    <row r="425" spans="1:17" ht="15.75" customHeight="1" x14ac:dyDescent="0.25">
      <c r="A425" s="497" t="s">
        <v>2820</v>
      </c>
      <c r="B425" s="466" t="s">
        <v>2235</v>
      </c>
      <c r="C425" s="468" t="s">
        <v>1745</v>
      </c>
      <c r="D425" s="488" t="s">
        <v>1744</v>
      </c>
      <c r="E425" s="488" t="s">
        <v>2243</v>
      </c>
      <c r="F425" s="524">
        <f>Q425+Q427</f>
        <v>714640</v>
      </c>
      <c r="G425" s="242">
        <v>3882</v>
      </c>
      <c r="H425" s="221">
        <v>43545</v>
      </c>
      <c r="I425" s="243">
        <f>271600/1.2</f>
        <v>226333.33333333334</v>
      </c>
      <c r="J425" s="243">
        <f t="shared" si="107"/>
        <v>271600</v>
      </c>
      <c r="K425" s="527">
        <v>489</v>
      </c>
      <c r="L425" s="529">
        <v>43797</v>
      </c>
      <c r="M425" s="522">
        <f>I425+I426</f>
        <v>452666.66666666669</v>
      </c>
      <c r="N425" s="522">
        <f>J425+J426</f>
        <v>543200</v>
      </c>
      <c r="O425" s="522"/>
      <c r="P425" s="518">
        <f>M425</f>
        <v>452666.66666666669</v>
      </c>
      <c r="Q425" s="518">
        <f>N425</f>
        <v>543200</v>
      </c>
    </row>
    <row r="426" spans="1:17" ht="15.75" customHeight="1" x14ac:dyDescent="0.25">
      <c r="A426" s="498"/>
      <c r="B426" s="484"/>
      <c r="C426" s="476"/>
      <c r="D426" s="493"/>
      <c r="E426" s="493"/>
      <c r="F426" s="525"/>
      <c r="G426" s="242">
        <v>284012</v>
      </c>
      <c r="H426" s="221">
        <v>43796</v>
      </c>
      <c r="I426" s="243">
        <f>271600/1.2</f>
        <v>226333.33333333334</v>
      </c>
      <c r="J426" s="243">
        <f t="shared" si="107"/>
        <v>271600</v>
      </c>
      <c r="K426" s="528"/>
      <c r="L426" s="530"/>
      <c r="M426" s="532"/>
      <c r="N426" s="532"/>
      <c r="O426" s="523"/>
      <c r="P426" s="519"/>
      <c r="Q426" s="519"/>
    </row>
    <row r="427" spans="1:17" ht="15.75" customHeight="1" x14ac:dyDescent="0.25">
      <c r="A427" s="498"/>
      <c r="B427" s="484"/>
      <c r="C427" s="476"/>
      <c r="D427" s="493"/>
      <c r="E427" s="493"/>
      <c r="F427" s="525"/>
      <c r="G427" s="242">
        <v>284011</v>
      </c>
      <c r="H427" s="221">
        <v>43796</v>
      </c>
      <c r="I427" s="243">
        <f>85720/1.2</f>
        <v>71433.333333333343</v>
      </c>
      <c r="J427" s="243">
        <f t="shared" si="107"/>
        <v>85720.000000000015</v>
      </c>
      <c r="K427" s="527">
        <v>504</v>
      </c>
      <c r="L427" s="529">
        <v>43812</v>
      </c>
      <c r="M427" s="522">
        <f>I427+I428</f>
        <v>142866.66666666669</v>
      </c>
      <c r="N427" s="522">
        <f>J427+J428</f>
        <v>171440.00000000003</v>
      </c>
      <c r="O427" s="522"/>
      <c r="P427" s="518">
        <f>M427</f>
        <v>142866.66666666669</v>
      </c>
      <c r="Q427" s="518">
        <f>N427</f>
        <v>171440.00000000003</v>
      </c>
    </row>
    <row r="428" spans="1:17" ht="15.75" customHeight="1" x14ac:dyDescent="0.25">
      <c r="A428" s="499"/>
      <c r="B428" s="467"/>
      <c r="C428" s="469"/>
      <c r="D428" s="489"/>
      <c r="E428" s="489"/>
      <c r="F428" s="526"/>
      <c r="G428" s="242">
        <v>285050</v>
      </c>
      <c r="H428" s="221">
        <v>43816</v>
      </c>
      <c r="I428" s="243">
        <f>85720/1.2</f>
        <v>71433.333333333343</v>
      </c>
      <c r="J428" s="243">
        <f t="shared" si="107"/>
        <v>85720.000000000015</v>
      </c>
      <c r="K428" s="528"/>
      <c r="L428" s="531"/>
      <c r="M428" s="523"/>
      <c r="N428" s="523"/>
      <c r="O428" s="523"/>
      <c r="P428" s="519"/>
      <c r="Q428" s="519"/>
    </row>
    <row r="429" spans="1:17" ht="22.5" customHeight="1" x14ac:dyDescent="0.25">
      <c r="A429" s="497" t="s">
        <v>2821</v>
      </c>
      <c r="B429" s="466" t="s">
        <v>2704</v>
      </c>
      <c r="C429" s="468">
        <v>98</v>
      </c>
      <c r="D429" s="488" t="s">
        <v>2648</v>
      </c>
      <c r="E429" s="488" t="s">
        <v>2243</v>
      </c>
      <c r="F429" s="524">
        <v>135000</v>
      </c>
      <c r="G429" s="242">
        <v>41727</v>
      </c>
      <c r="H429" s="221">
        <v>43591</v>
      </c>
      <c r="I429" s="243">
        <f>F429/2</f>
        <v>67500</v>
      </c>
      <c r="J429" s="243">
        <f>I429</f>
        <v>67500</v>
      </c>
      <c r="K429" s="527">
        <v>36</v>
      </c>
      <c r="L429" s="529">
        <v>43800</v>
      </c>
      <c r="M429" s="522">
        <f>I429+I430</f>
        <v>135000</v>
      </c>
      <c r="N429" s="522">
        <f>J429+J430</f>
        <v>135000</v>
      </c>
      <c r="O429" s="522"/>
      <c r="P429" s="518">
        <f>M429</f>
        <v>135000</v>
      </c>
      <c r="Q429" s="518">
        <f>N429</f>
        <v>135000</v>
      </c>
    </row>
    <row r="430" spans="1:17" ht="26.25" customHeight="1" x14ac:dyDescent="0.25">
      <c r="A430" s="498"/>
      <c r="B430" s="467"/>
      <c r="C430" s="469"/>
      <c r="D430" s="489"/>
      <c r="E430" s="489"/>
      <c r="F430" s="526"/>
      <c r="G430" s="242">
        <v>45513</v>
      </c>
      <c r="H430" s="221">
        <v>43668</v>
      </c>
      <c r="I430" s="243">
        <f>I429</f>
        <v>67500</v>
      </c>
      <c r="J430" s="243">
        <f>I430</f>
        <v>67500</v>
      </c>
      <c r="K430" s="528"/>
      <c r="L430" s="531"/>
      <c r="M430" s="523"/>
      <c r="N430" s="523"/>
      <c r="O430" s="523"/>
      <c r="P430" s="519"/>
      <c r="Q430" s="519"/>
    </row>
    <row r="431" spans="1:17" ht="15.75" customHeight="1" x14ac:dyDescent="0.25">
      <c r="A431" s="498"/>
      <c r="B431" s="466" t="s">
        <v>2233</v>
      </c>
      <c r="C431" s="468">
        <v>142</v>
      </c>
      <c r="D431" s="488" t="s">
        <v>2232</v>
      </c>
      <c r="E431" s="488" t="s">
        <v>2243</v>
      </c>
      <c r="F431" s="524">
        <v>192000</v>
      </c>
      <c r="G431" s="242">
        <v>65411</v>
      </c>
      <c r="H431" s="221">
        <v>43371</v>
      </c>
      <c r="I431" s="243">
        <v>92000</v>
      </c>
      <c r="J431" s="243">
        <f>I431</f>
        <v>92000</v>
      </c>
      <c r="K431" s="527" t="s">
        <v>375</v>
      </c>
      <c r="L431" s="529">
        <v>43413</v>
      </c>
      <c r="M431" s="522">
        <f>F431</f>
        <v>192000</v>
      </c>
      <c r="N431" s="522">
        <f>M431</f>
        <v>192000</v>
      </c>
      <c r="O431" s="533"/>
      <c r="P431" s="524">
        <v>192000</v>
      </c>
      <c r="Q431" s="524">
        <f>P431</f>
        <v>192000</v>
      </c>
    </row>
    <row r="432" spans="1:17" ht="15.75" customHeight="1" x14ac:dyDescent="0.25">
      <c r="A432" s="499"/>
      <c r="B432" s="467"/>
      <c r="C432" s="469"/>
      <c r="D432" s="489"/>
      <c r="E432" s="489"/>
      <c r="F432" s="526"/>
      <c r="G432" s="242">
        <v>68760</v>
      </c>
      <c r="H432" s="221">
        <v>43438</v>
      </c>
      <c r="I432" s="243">
        <v>92000</v>
      </c>
      <c r="J432" s="243">
        <f>I432</f>
        <v>92000</v>
      </c>
      <c r="K432" s="528"/>
      <c r="L432" s="531"/>
      <c r="M432" s="523"/>
      <c r="N432" s="523"/>
      <c r="O432" s="534"/>
      <c r="P432" s="526"/>
      <c r="Q432" s="526"/>
    </row>
    <row r="433" spans="1:17" ht="15.75" customHeight="1" x14ac:dyDescent="0.25">
      <c r="A433" s="497" t="s">
        <v>2829</v>
      </c>
      <c r="B433" s="466" t="s">
        <v>2244</v>
      </c>
      <c r="C433" s="468" t="s">
        <v>2201</v>
      </c>
      <c r="D433" s="470">
        <v>43654</v>
      </c>
      <c r="E433" s="488" t="s">
        <v>2243</v>
      </c>
      <c r="F433" s="524">
        <v>706000</v>
      </c>
      <c r="G433" s="242">
        <v>49575</v>
      </c>
      <c r="H433" s="221">
        <v>43739</v>
      </c>
      <c r="I433" s="243">
        <v>106000</v>
      </c>
      <c r="J433" s="243">
        <f t="shared" ref="J433:J436" si="108">I433</f>
        <v>106000</v>
      </c>
      <c r="K433" s="246">
        <v>19</v>
      </c>
      <c r="L433" s="245">
        <v>43738</v>
      </c>
      <c r="M433" s="282">
        <f>I433</f>
        <v>106000</v>
      </c>
      <c r="N433" s="282">
        <f>J433</f>
        <v>106000</v>
      </c>
      <c r="O433" s="282"/>
      <c r="P433" s="232">
        <f>I433</f>
        <v>106000</v>
      </c>
      <c r="Q433" s="232">
        <f>J433</f>
        <v>106000</v>
      </c>
    </row>
    <row r="434" spans="1:17" ht="15.75" customHeight="1" x14ac:dyDescent="0.25">
      <c r="A434" s="498"/>
      <c r="B434" s="484"/>
      <c r="C434" s="476"/>
      <c r="D434" s="477"/>
      <c r="E434" s="493"/>
      <c r="F434" s="525"/>
      <c r="G434" s="242">
        <v>49576</v>
      </c>
      <c r="H434" s="221">
        <v>43739</v>
      </c>
      <c r="I434" s="243">
        <v>150000</v>
      </c>
      <c r="J434" s="243">
        <f t="shared" si="108"/>
        <v>150000</v>
      </c>
      <c r="K434" s="527" t="s">
        <v>2245</v>
      </c>
      <c r="L434" s="529">
        <v>43746</v>
      </c>
      <c r="M434" s="522">
        <f>I434+I435+I436</f>
        <v>600000</v>
      </c>
      <c r="N434" s="522">
        <f>J434+J435+J436</f>
        <v>600000</v>
      </c>
      <c r="O434" s="522"/>
      <c r="P434" s="522">
        <f>M434</f>
        <v>600000</v>
      </c>
      <c r="Q434" s="522">
        <f>N434</f>
        <v>600000</v>
      </c>
    </row>
    <row r="435" spans="1:17" ht="15.75" customHeight="1" x14ac:dyDescent="0.25">
      <c r="A435" s="498"/>
      <c r="B435" s="484"/>
      <c r="C435" s="476"/>
      <c r="D435" s="477"/>
      <c r="E435" s="493"/>
      <c r="F435" s="525"/>
      <c r="G435" s="242">
        <v>50193</v>
      </c>
      <c r="H435" s="221">
        <v>43739</v>
      </c>
      <c r="I435" s="243">
        <v>150000</v>
      </c>
      <c r="J435" s="243">
        <f t="shared" si="108"/>
        <v>150000</v>
      </c>
      <c r="K435" s="535"/>
      <c r="L435" s="530"/>
      <c r="M435" s="532"/>
      <c r="N435" s="532"/>
      <c r="O435" s="532"/>
      <c r="P435" s="532"/>
      <c r="Q435" s="532"/>
    </row>
    <row r="436" spans="1:17" ht="15.75" customHeight="1" x14ac:dyDescent="0.25">
      <c r="A436" s="499"/>
      <c r="B436" s="484"/>
      <c r="C436" s="476"/>
      <c r="D436" s="477"/>
      <c r="E436" s="489"/>
      <c r="F436" s="526"/>
      <c r="G436" s="242">
        <v>45264</v>
      </c>
      <c r="H436" s="221">
        <v>43663</v>
      </c>
      <c r="I436" s="243">
        <v>300000</v>
      </c>
      <c r="J436" s="243">
        <f t="shared" si="108"/>
        <v>300000</v>
      </c>
      <c r="K436" s="528"/>
      <c r="L436" s="531"/>
      <c r="M436" s="523"/>
      <c r="N436" s="523"/>
      <c r="O436" s="523"/>
      <c r="P436" s="523"/>
      <c r="Q436" s="523"/>
    </row>
    <row r="437" spans="1:17" ht="31.5" customHeight="1" x14ac:dyDescent="0.25">
      <c r="A437" s="497" t="s">
        <v>2823</v>
      </c>
      <c r="B437" s="466" t="s">
        <v>2238</v>
      </c>
      <c r="C437" s="468">
        <v>35</v>
      </c>
      <c r="D437" s="488" t="s">
        <v>2237</v>
      </c>
      <c r="E437" s="488" t="s">
        <v>2243</v>
      </c>
      <c r="F437" s="524">
        <v>370000</v>
      </c>
      <c r="G437" s="242">
        <v>49937</v>
      </c>
      <c r="H437" s="221">
        <v>43745</v>
      </c>
      <c r="I437" s="243">
        <f>185000/1.2</f>
        <v>154166.66666666669</v>
      </c>
      <c r="J437" s="243">
        <f>I437*1.2</f>
        <v>185000.00000000003</v>
      </c>
      <c r="K437" s="527">
        <v>36</v>
      </c>
      <c r="L437" s="529">
        <v>43788</v>
      </c>
      <c r="M437" s="522">
        <f>I437+I438</f>
        <v>308333.33333333337</v>
      </c>
      <c r="N437" s="522">
        <f>J437+J438</f>
        <v>370000.00000000006</v>
      </c>
      <c r="O437" s="522"/>
      <c r="P437" s="522">
        <f>M437</f>
        <v>308333.33333333337</v>
      </c>
      <c r="Q437" s="522">
        <f>N437</f>
        <v>370000.00000000006</v>
      </c>
    </row>
    <row r="438" spans="1:17" ht="15.75" customHeight="1" x14ac:dyDescent="0.25">
      <c r="A438" s="499"/>
      <c r="B438" s="467"/>
      <c r="C438" s="469"/>
      <c r="D438" s="489"/>
      <c r="E438" s="489"/>
      <c r="F438" s="526"/>
      <c r="G438" s="242">
        <v>283871</v>
      </c>
      <c r="H438" s="221">
        <v>44151</v>
      </c>
      <c r="I438" s="243">
        <f>185000/1.2</f>
        <v>154166.66666666669</v>
      </c>
      <c r="J438" s="243">
        <f>I438*1.2</f>
        <v>185000.00000000003</v>
      </c>
      <c r="K438" s="528"/>
      <c r="L438" s="531"/>
      <c r="M438" s="523"/>
      <c r="N438" s="523"/>
      <c r="O438" s="523"/>
      <c r="P438" s="523"/>
      <c r="Q438" s="523"/>
    </row>
    <row r="439" spans="1:17" ht="15.75" customHeight="1" x14ac:dyDescent="0.25">
      <c r="A439" s="498" t="s">
        <v>2825</v>
      </c>
      <c r="B439" s="466" t="s">
        <v>2239</v>
      </c>
      <c r="C439" s="468" t="s">
        <v>1741</v>
      </c>
      <c r="D439" s="488" t="s">
        <v>1742</v>
      </c>
      <c r="E439" s="488" t="s">
        <v>2243</v>
      </c>
      <c r="F439" s="524">
        <v>12903000</v>
      </c>
      <c r="G439" s="242">
        <v>62960</v>
      </c>
      <c r="H439" s="221">
        <v>43759</v>
      </c>
      <c r="I439" s="243">
        <f>967550/1.2</f>
        <v>806291.66666666674</v>
      </c>
      <c r="J439" s="243">
        <f>I439*1.2</f>
        <v>967550</v>
      </c>
      <c r="K439" s="246">
        <v>1</v>
      </c>
      <c r="L439" s="245">
        <v>43844</v>
      </c>
      <c r="M439" s="282">
        <v>9196666.6699999999</v>
      </c>
      <c r="N439" s="282">
        <f>M439*1.2</f>
        <v>11036000.003999999</v>
      </c>
      <c r="O439" s="337"/>
      <c r="P439" s="339">
        <f>M439</f>
        <v>9196666.6699999999</v>
      </c>
      <c r="Q439" s="339">
        <f>N439</f>
        <v>11036000.003999999</v>
      </c>
    </row>
    <row r="440" spans="1:17" ht="15.75" customHeight="1" x14ac:dyDescent="0.25">
      <c r="A440" s="498"/>
      <c r="B440" s="484"/>
      <c r="C440" s="476"/>
      <c r="D440" s="493"/>
      <c r="E440" s="493"/>
      <c r="F440" s="525"/>
      <c r="G440" s="242">
        <v>63149</v>
      </c>
      <c r="H440" s="221">
        <v>43762</v>
      </c>
      <c r="I440" s="243">
        <f>1500000/1.2</f>
        <v>1250000</v>
      </c>
      <c r="J440" s="243">
        <f t="shared" ref="J440:J443" si="109">I440*1.2</f>
        <v>1500000</v>
      </c>
      <c r="K440" s="310" t="s">
        <v>2737</v>
      </c>
      <c r="L440" s="335">
        <v>44097</v>
      </c>
      <c r="M440" s="282">
        <v>1555833.33</v>
      </c>
      <c r="N440" s="282">
        <f>M440*1.2</f>
        <v>1866999.996</v>
      </c>
      <c r="O440" s="337"/>
      <c r="P440" s="339">
        <v>1555833.33</v>
      </c>
      <c r="Q440" s="339">
        <f>P440*1.2</f>
        <v>1866999.996</v>
      </c>
    </row>
    <row r="441" spans="1:17" ht="15.75" customHeight="1" x14ac:dyDescent="0.25">
      <c r="A441" s="498"/>
      <c r="B441" s="484"/>
      <c r="C441" s="476"/>
      <c r="D441" s="493"/>
      <c r="E441" s="493"/>
      <c r="F441" s="525"/>
      <c r="G441" s="242">
        <v>63433</v>
      </c>
      <c r="H441" s="221">
        <v>43768</v>
      </c>
      <c r="I441" s="243">
        <f>8500000/1.2</f>
        <v>7083333.333333334</v>
      </c>
      <c r="J441" s="243">
        <f t="shared" si="109"/>
        <v>8500000</v>
      </c>
      <c r="K441" s="286"/>
      <c r="L441" s="287"/>
      <c r="M441" s="288"/>
      <c r="N441" s="288"/>
      <c r="O441" s="289"/>
      <c r="P441" s="289"/>
      <c r="Q441" s="289"/>
    </row>
    <row r="442" spans="1:17" ht="15.75" customHeight="1" x14ac:dyDescent="0.25">
      <c r="A442" s="498"/>
      <c r="B442" s="484"/>
      <c r="C442" s="476"/>
      <c r="D442" s="493"/>
      <c r="E442" s="493"/>
      <c r="F442" s="525"/>
      <c r="G442" s="242">
        <v>285549</v>
      </c>
      <c r="H442" s="221">
        <v>43824</v>
      </c>
      <c r="I442" s="243">
        <f>1655400/1.2</f>
        <v>1379500</v>
      </c>
      <c r="J442" s="243">
        <f t="shared" si="109"/>
        <v>1655400</v>
      </c>
      <c r="K442" s="286"/>
      <c r="L442" s="287"/>
      <c r="M442" s="288"/>
      <c r="N442" s="288"/>
      <c r="O442" s="289"/>
      <c r="P442" s="289"/>
      <c r="Q442" s="289"/>
    </row>
    <row r="443" spans="1:17" ht="15.75" customHeight="1" x14ac:dyDescent="0.25">
      <c r="A443" s="499"/>
      <c r="B443" s="467"/>
      <c r="C443" s="469"/>
      <c r="D443" s="489"/>
      <c r="E443" s="489"/>
      <c r="F443" s="525"/>
      <c r="G443" s="242">
        <v>600008</v>
      </c>
      <c r="H443" s="221">
        <v>43915</v>
      </c>
      <c r="I443" s="243">
        <f>280050/1.2</f>
        <v>233375</v>
      </c>
      <c r="J443" s="243">
        <f t="shared" si="109"/>
        <v>280050</v>
      </c>
      <c r="K443" s="286"/>
      <c r="L443" s="287"/>
      <c r="M443" s="288"/>
      <c r="N443" s="288"/>
      <c r="O443" s="289"/>
      <c r="P443" s="289"/>
      <c r="Q443" s="289"/>
    </row>
    <row r="444" spans="1:17" ht="15.75" customHeight="1" x14ac:dyDescent="0.25">
      <c r="A444" s="497" t="s">
        <v>2824</v>
      </c>
      <c r="B444" s="466" t="s">
        <v>2239</v>
      </c>
      <c r="C444" s="468" t="s">
        <v>1741</v>
      </c>
      <c r="D444" s="488" t="s">
        <v>1742</v>
      </c>
      <c r="E444" s="488" t="s">
        <v>2243</v>
      </c>
      <c r="F444" s="524">
        <v>3468000</v>
      </c>
      <c r="G444" s="242">
        <v>62885</v>
      </c>
      <c r="H444" s="221">
        <v>43755</v>
      </c>
      <c r="I444" s="243">
        <f>2947800/1.2</f>
        <v>2456500</v>
      </c>
      <c r="J444" s="243">
        <f>I444*1.2</f>
        <v>2947800</v>
      </c>
      <c r="K444" s="527">
        <v>506</v>
      </c>
      <c r="L444" s="529">
        <v>43816</v>
      </c>
      <c r="M444" s="520">
        <f>I444+I445</f>
        <v>2890000</v>
      </c>
      <c r="N444" s="520">
        <f>J444+J445</f>
        <v>3468000</v>
      </c>
      <c r="O444" s="522"/>
      <c r="P444" s="522">
        <f>M444</f>
        <v>2890000</v>
      </c>
      <c r="Q444" s="522">
        <f>N444</f>
        <v>3468000</v>
      </c>
    </row>
    <row r="445" spans="1:17" ht="15.75" customHeight="1" x14ac:dyDescent="0.25">
      <c r="A445" s="498"/>
      <c r="B445" s="467"/>
      <c r="C445" s="469"/>
      <c r="D445" s="489"/>
      <c r="E445" s="489"/>
      <c r="F445" s="526"/>
      <c r="G445" s="242">
        <v>284870</v>
      </c>
      <c r="H445" s="221">
        <v>43812</v>
      </c>
      <c r="I445" s="243">
        <f>520200/1.2</f>
        <v>433500</v>
      </c>
      <c r="J445" s="243">
        <f>I445*1.2</f>
        <v>520200</v>
      </c>
      <c r="K445" s="528"/>
      <c r="L445" s="531"/>
      <c r="M445" s="521"/>
      <c r="N445" s="521"/>
      <c r="O445" s="523"/>
      <c r="P445" s="523"/>
      <c r="Q445" s="523"/>
    </row>
    <row r="446" spans="1:17" ht="15.75" customHeight="1" x14ac:dyDescent="0.25">
      <c r="A446" s="497" t="s">
        <v>2818</v>
      </c>
      <c r="B446" s="466" t="s">
        <v>2854</v>
      </c>
      <c r="C446" s="447" t="s">
        <v>2815</v>
      </c>
      <c r="D446" s="488" t="s">
        <v>2236</v>
      </c>
      <c r="E446" s="488" t="s">
        <v>2243</v>
      </c>
      <c r="F446" s="524">
        <v>103000</v>
      </c>
      <c r="G446" s="242">
        <v>45962</v>
      </c>
      <c r="H446" s="221">
        <v>43676</v>
      </c>
      <c r="I446" s="243">
        <f>82400/1.2</f>
        <v>68666.666666666672</v>
      </c>
      <c r="J446" s="243">
        <f>I446*1.2</f>
        <v>82400</v>
      </c>
      <c r="K446" s="527">
        <v>505</v>
      </c>
      <c r="L446" s="529">
        <v>43812</v>
      </c>
      <c r="M446" s="522">
        <f>I446+I447</f>
        <v>85833.333333333343</v>
      </c>
      <c r="N446" s="522">
        <f>J446+J447</f>
        <v>103000</v>
      </c>
      <c r="O446" s="522"/>
      <c r="P446" s="518">
        <f>M446</f>
        <v>85833.333333333343</v>
      </c>
      <c r="Q446" s="518">
        <f>N446</f>
        <v>103000</v>
      </c>
    </row>
    <row r="447" spans="1:17" ht="15.75" customHeight="1" x14ac:dyDescent="0.25">
      <c r="A447" s="499"/>
      <c r="B447" s="467"/>
      <c r="C447" s="449"/>
      <c r="D447" s="489"/>
      <c r="E447" s="489"/>
      <c r="F447" s="526"/>
      <c r="G447" s="242">
        <v>285049</v>
      </c>
      <c r="H447" s="221">
        <v>43816</v>
      </c>
      <c r="I447" s="243">
        <f>20600/1.2</f>
        <v>17166.666666666668</v>
      </c>
      <c r="J447" s="243">
        <f>I447*1.2</f>
        <v>20600</v>
      </c>
      <c r="K447" s="528"/>
      <c r="L447" s="531"/>
      <c r="M447" s="523"/>
      <c r="N447" s="523"/>
      <c r="O447" s="523"/>
      <c r="P447" s="519"/>
      <c r="Q447" s="519"/>
    </row>
    <row r="448" spans="1:17" ht="15.75" customHeight="1" x14ac:dyDescent="0.25">
      <c r="A448" s="497" t="s">
        <v>2826</v>
      </c>
      <c r="B448" s="466" t="s">
        <v>2626</v>
      </c>
      <c r="C448" s="350" t="s">
        <v>1750</v>
      </c>
      <c r="D448" s="350" t="s">
        <v>1754</v>
      </c>
      <c r="E448" s="493" t="s">
        <v>2243</v>
      </c>
      <c r="F448" s="349">
        <v>303000</v>
      </c>
      <c r="G448" s="242"/>
      <c r="H448" s="221"/>
      <c r="I448" s="243"/>
      <c r="J448" s="243">
        <f t="shared" ref="J448:J454" si="110">I448</f>
        <v>0</v>
      </c>
      <c r="K448" s="310"/>
      <c r="L448" s="335"/>
      <c r="M448" s="337"/>
      <c r="N448" s="337">
        <f>M448*1.2</f>
        <v>0</v>
      </c>
      <c r="O448" s="337"/>
      <c r="P448" s="337"/>
      <c r="Q448" s="337">
        <f>P448*1.2</f>
        <v>0</v>
      </c>
    </row>
    <row r="449" spans="1:17" ht="15.75" customHeight="1" x14ac:dyDescent="0.25">
      <c r="A449" s="499"/>
      <c r="B449" s="467"/>
      <c r="C449" s="311" t="s">
        <v>1753</v>
      </c>
      <c r="D449" s="311" t="s">
        <v>1754</v>
      </c>
      <c r="E449" s="489"/>
      <c r="F449" s="309">
        <v>866100</v>
      </c>
      <c r="G449" s="242"/>
      <c r="H449" s="221"/>
      <c r="I449" s="243"/>
      <c r="J449" s="243">
        <f t="shared" si="110"/>
        <v>0</v>
      </c>
      <c r="K449" s="310"/>
      <c r="L449" s="335"/>
      <c r="M449" s="337">
        <v>721750</v>
      </c>
      <c r="N449" s="337">
        <f>M449*1.2</f>
        <v>866100</v>
      </c>
      <c r="O449" s="337"/>
      <c r="P449" s="337">
        <v>721750</v>
      </c>
      <c r="Q449" s="337">
        <f>P449*1.2</f>
        <v>866100</v>
      </c>
    </row>
    <row r="450" spans="1:17" ht="31.5" customHeight="1" x14ac:dyDescent="0.25">
      <c r="A450" s="497" t="s">
        <v>2828</v>
      </c>
      <c r="B450" s="466" t="s">
        <v>2242</v>
      </c>
      <c r="C450" s="468" t="s">
        <v>2200</v>
      </c>
      <c r="D450" s="470">
        <v>43641</v>
      </c>
      <c r="E450" s="488" t="s">
        <v>2243</v>
      </c>
      <c r="F450" s="524">
        <v>333126</v>
      </c>
      <c r="G450" s="242">
        <v>62958</v>
      </c>
      <c r="H450" s="221">
        <v>43759</v>
      </c>
      <c r="I450" s="243">
        <v>166563</v>
      </c>
      <c r="J450" s="243">
        <f>I450</f>
        <v>166563</v>
      </c>
      <c r="K450" s="527">
        <v>10</v>
      </c>
      <c r="L450" s="529">
        <v>43739</v>
      </c>
      <c r="M450" s="522">
        <f>I450+I451</f>
        <v>333126</v>
      </c>
      <c r="N450" s="522">
        <f>J450+J451</f>
        <v>333126</v>
      </c>
      <c r="O450" s="522"/>
      <c r="P450" s="522">
        <f>M450</f>
        <v>333126</v>
      </c>
      <c r="Q450" s="522">
        <f>N450</f>
        <v>333126</v>
      </c>
    </row>
    <row r="451" spans="1:17" ht="15.75" customHeight="1" x14ac:dyDescent="0.25">
      <c r="A451" s="499"/>
      <c r="B451" s="467"/>
      <c r="C451" s="469"/>
      <c r="D451" s="471"/>
      <c r="E451" s="489"/>
      <c r="F451" s="526"/>
      <c r="G451" s="242">
        <v>49454</v>
      </c>
      <c r="H451" s="221">
        <v>43738</v>
      </c>
      <c r="I451" s="243">
        <v>166563</v>
      </c>
      <c r="J451" s="243">
        <f>I451</f>
        <v>166563</v>
      </c>
      <c r="K451" s="528"/>
      <c r="L451" s="531"/>
      <c r="M451" s="523"/>
      <c r="N451" s="523"/>
      <c r="O451" s="523"/>
      <c r="P451" s="523"/>
      <c r="Q451" s="523"/>
    </row>
    <row r="452" spans="1:17" s="7" customFormat="1" ht="47.25" x14ac:dyDescent="0.25">
      <c r="A452" s="301" t="s">
        <v>2822</v>
      </c>
      <c r="B452" s="319" t="s">
        <v>2744</v>
      </c>
      <c r="C452" s="312" t="s">
        <v>2199</v>
      </c>
      <c r="D452" s="312" t="s">
        <v>2649</v>
      </c>
      <c r="E452" s="346" t="s">
        <v>2243</v>
      </c>
      <c r="F452" s="290">
        <v>32000</v>
      </c>
      <c r="G452" s="242">
        <v>471</v>
      </c>
      <c r="H452" s="221">
        <v>43847</v>
      </c>
      <c r="I452" s="243">
        <f>F452</f>
        <v>32000</v>
      </c>
      <c r="J452" s="243">
        <f>I452</f>
        <v>32000</v>
      </c>
      <c r="K452" s="244" t="s">
        <v>50</v>
      </c>
      <c r="L452" s="245">
        <v>43851</v>
      </c>
      <c r="M452" s="282">
        <f t="shared" ref="M452:N454" si="111">I452</f>
        <v>32000</v>
      </c>
      <c r="N452" s="282">
        <f t="shared" si="111"/>
        <v>32000</v>
      </c>
      <c r="O452" s="282"/>
      <c r="P452" s="232">
        <f>I452</f>
        <v>32000</v>
      </c>
      <c r="Q452" s="232">
        <f>J452</f>
        <v>32000</v>
      </c>
    </row>
    <row r="453" spans="1:17" ht="47.25" x14ac:dyDescent="0.25">
      <c r="A453" s="497" t="s">
        <v>2827</v>
      </c>
      <c r="B453" s="219" t="s">
        <v>2240</v>
      </c>
      <c r="C453" s="216" t="s">
        <v>2745</v>
      </c>
      <c r="D453" s="216" t="s">
        <v>2747</v>
      </c>
      <c r="E453" s="346" t="s">
        <v>2243</v>
      </c>
      <c r="F453" s="290">
        <v>32000</v>
      </c>
      <c r="G453" s="242">
        <v>61527</v>
      </c>
      <c r="H453" s="221">
        <v>43951</v>
      </c>
      <c r="I453" s="243">
        <f>F453</f>
        <v>32000</v>
      </c>
      <c r="J453" s="243">
        <f t="shared" si="110"/>
        <v>32000</v>
      </c>
      <c r="K453" s="246">
        <v>10</v>
      </c>
      <c r="L453" s="245">
        <v>43931</v>
      </c>
      <c r="M453" s="232">
        <f t="shared" si="111"/>
        <v>32000</v>
      </c>
      <c r="N453" s="232">
        <f t="shared" si="111"/>
        <v>32000</v>
      </c>
      <c r="O453" s="282"/>
      <c r="P453" s="232">
        <f t="shared" ref="P453:Q454" si="112">I453</f>
        <v>32000</v>
      </c>
      <c r="Q453" s="232">
        <f t="shared" si="112"/>
        <v>32000</v>
      </c>
    </row>
    <row r="454" spans="1:17" ht="31.5" x14ac:dyDescent="0.25">
      <c r="A454" s="498"/>
      <c r="B454" s="219" t="s">
        <v>2241</v>
      </c>
      <c r="C454" s="216" t="s">
        <v>2746</v>
      </c>
      <c r="D454" s="216" t="s">
        <v>2748</v>
      </c>
      <c r="E454" s="346" t="s">
        <v>2243</v>
      </c>
      <c r="F454" s="290">
        <v>24000</v>
      </c>
      <c r="G454" s="242">
        <v>62711</v>
      </c>
      <c r="H454" s="221">
        <v>43978</v>
      </c>
      <c r="I454" s="243">
        <f t="shared" ref="I454" si="113">F454</f>
        <v>24000</v>
      </c>
      <c r="J454" s="243">
        <f t="shared" si="110"/>
        <v>24000</v>
      </c>
      <c r="K454" s="246">
        <v>14</v>
      </c>
      <c r="L454" s="245">
        <v>43970</v>
      </c>
      <c r="M454" s="232">
        <f t="shared" si="111"/>
        <v>24000</v>
      </c>
      <c r="N454" s="232">
        <f t="shared" si="111"/>
        <v>24000</v>
      </c>
      <c r="O454" s="282"/>
      <c r="P454" s="232">
        <f t="shared" si="112"/>
        <v>24000</v>
      </c>
      <c r="Q454" s="232">
        <f t="shared" si="112"/>
        <v>24000</v>
      </c>
    </row>
    <row r="455" spans="1:17" ht="47.25" x14ac:dyDescent="0.25">
      <c r="A455" s="499"/>
      <c r="B455" s="219" t="s">
        <v>2741</v>
      </c>
      <c r="C455" s="216" t="s">
        <v>2742</v>
      </c>
      <c r="D455" s="222">
        <v>44060</v>
      </c>
      <c r="E455" s="346" t="s">
        <v>2243</v>
      </c>
      <c r="F455" s="290">
        <v>38000</v>
      </c>
      <c r="G455" s="242">
        <v>68186</v>
      </c>
      <c r="H455" s="221">
        <v>44076</v>
      </c>
      <c r="I455" s="243">
        <v>38000</v>
      </c>
      <c r="J455" s="243">
        <f>I455</f>
        <v>38000</v>
      </c>
      <c r="K455" s="246" t="s">
        <v>2743</v>
      </c>
      <c r="L455" s="245">
        <v>44062</v>
      </c>
      <c r="M455" s="232">
        <v>38000</v>
      </c>
      <c r="N455" s="232">
        <f>M455</f>
        <v>38000</v>
      </c>
      <c r="O455" s="282"/>
      <c r="P455" s="232">
        <f>M455</f>
        <v>38000</v>
      </c>
      <c r="Q455" s="232">
        <f>P455</f>
        <v>38000</v>
      </c>
    </row>
    <row r="456" spans="1:17" ht="31.5" x14ac:dyDescent="0.25">
      <c r="A456" s="308" t="s">
        <v>2830</v>
      </c>
      <c r="B456" s="323" t="s">
        <v>2816</v>
      </c>
      <c r="C456" s="346" t="s">
        <v>2738</v>
      </c>
      <c r="D456" s="311" t="s">
        <v>2739</v>
      </c>
      <c r="E456" s="311" t="s">
        <v>2243</v>
      </c>
      <c r="F456" s="338"/>
      <c r="G456" s="242"/>
      <c r="H456" s="221"/>
      <c r="I456" s="243"/>
      <c r="J456" s="243"/>
      <c r="K456" s="333" t="s">
        <v>2740</v>
      </c>
      <c r="L456" s="334">
        <v>44049</v>
      </c>
      <c r="M456" s="336">
        <f>16666.67</f>
        <v>16666.669999999998</v>
      </c>
      <c r="N456" s="336">
        <f>M456*1.2</f>
        <v>20000.003999999997</v>
      </c>
      <c r="O456" s="336"/>
      <c r="P456" s="291">
        <f>M456</f>
        <v>16666.669999999998</v>
      </c>
      <c r="Q456" s="291">
        <f>N456</f>
        <v>20000.003999999997</v>
      </c>
    </row>
    <row r="457" spans="1:17" s="124" customFormat="1" ht="47.25" x14ac:dyDescent="0.25">
      <c r="A457" s="302"/>
      <c r="B457" s="294" t="s">
        <v>2627</v>
      </c>
      <c r="C457" s="293"/>
      <c r="D457" s="295"/>
      <c r="E457" s="295"/>
      <c r="F457" s="296"/>
      <c r="G457" s="297"/>
      <c r="H457" s="292"/>
      <c r="I457" s="298"/>
      <c r="J457" s="298"/>
      <c r="K457" s="299" t="s">
        <v>2817</v>
      </c>
      <c r="L457" s="300">
        <v>44119</v>
      </c>
      <c r="M457" s="298">
        <v>7500000</v>
      </c>
      <c r="N457" s="298">
        <f>M457</f>
        <v>7500000</v>
      </c>
      <c r="O457" s="299" t="s">
        <v>2749</v>
      </c>
      <c r="P457" s="298">
        <f>M457</f>
        <v>7500000</v>
      </c>
      <c r="Q457" s="298">
        <f>N457</f>
        <v>7500000</v>
      </c>
    </row>
    <row r="458" spans="1:17" s="151" customFormat="1" ht="40.5" customHeight="1" x14ac:dyDescent="0.25">
      <c r="A458" s="303"/>
      <c r="B458" s="219" t="s">
        <v>1</v>
      </c>
      <c r="C458" s="247"/>
      <c r="D458" s="248"/>
      <c r="E458" s="248"/>
      <c r="F458" s="266">
        <f>SUM(F419:F451)</f>
        <v>22118866</v>
      </c>
      <c r="G458" s="249"/>
      <c r="H458" s="250"/>
      <c r="I458" s="267">
        <f>SUM(I419:I451)</f>
        <v>17677826.000000004</v>
      </c>
      <c r="J458" s="267">
        <f>SUM(J419:J451)</f>
        <v>20941766</v>
      </c>
      <c r="K458" s="252"/>
      <c r="L458" s="252"/>
      <c r="M458" s="251">
        <f>SUM(M419:M457)</f>
        <v>26050242.669999998</v>
      </c>
      <c r="N458" s="251">
        <f>SUM(N419:N457)</f>
        <v>29461866.004000001</v>
      </c>
      <c r="O458" s="283"/>
      <c r="P458" s="251">
        <f>SUM(P419:P457)</f>
        <v>26050242.669999998</v>
      </c>
      <c r="Q458" s="267">
        <f>SUM(Q419:Q457)</f>
        <v>29461866.004000001</v>
      </c>
    </row>
    <row r="459" spans="1:17" ht="63" x14ac:dyDescent="0.25">
      <c r="A459" s="215">
        <v>6</v>
      </c>
      <c r="B459" s="219" t="s">
        <v>33</v>
      </c>
      <c r="C459" s="217" t="s">
        <v>48</v>
      </c>
      <c r="D459" s="241" t="s">
        <v>48</v>
      </c>
      <c r="E459" s="241" t="s">
        <v>48</v>
      </c>
      <c r="F459" s="265" t="s">
        <v>48</v>
      </c>
      <c r="G459" s="217" t="s">
        <v>48</v>
      </c>
      <c r="H459" s="217" t="s">
        <v>48</v>
      </c>
      <c r="I459" s="240" t="s">
        <v>48</v>
      </c>
      <c r="J459" s="240" t="s">
        <v>48</v>
      </c>
      <c r="K459" s="217" t="s">
        <v>48</v>
      </c>
      <c r="L459" s="217" t="s">
        <v>48</v>
      </c>
      <c r="M459" s="275" t="s">
        <v>48</v>
      </c>
      <c r="N459" s="275" t="s">
        <v>48</v>
      </c>
      <c r="O459" s="275" t="s">
        <v>48</v>
      </c>
      <c r="P459" s="275" t="s">
        <v>48</v>
      </c>
      <c r="Q459" s="275" t="s">
        <v>48</v>
      </c>
    </row>
    <row r="460" spans="1:17" ht="54" customHeight="1" x14ac:dyDescent="0.25">
      <c r="A460" s="215">
        <v>7</v>
      </c>
      <c r="B460" s="219" t="s">
        <v>34</v>
      </c>
      <c r="C460" s="217" t="s">
        <v>48</v>
      </c>
      <c r="D460" s="241" t="s">
        <v>48</v>
      </c>
      <c r="E460" s="241" t="s">
        <v>48</v>
      </c>
      <c r="F460" s="265" t="s">
        <v>48</v>
      </c>
      <c r="G460" s="217" t="s">
        <v>48</v>
      </c>
      <c r="H460" s="217" t="s">
        <v>48</v>
      </c>
      <c r="I460" s="240" t="s">
        <v>48</v>
      </c>
      <c r="J460" s="240" t="s">
        <v>48</v>
      </c>
      <c r="K460" s="217" t="s">
        <v>48</v>
      </c>
      <c r="L460" s="217" t="s">
        <v>48</v>
      </c>
      <c r="M460" s="275" t="s">
        <v>48</v>
      </c>
      <c r="N460" s="275" t="s">
        <v>48</v>
      </c>
      <c r="O460" s="281" t="s">
        <v>48</v>
      </c>
      <c r="P460" s="275" t="s">
        <v>48</v>
      </c>
      <c r="Q460" s="275" t="s">
        <v>48</v>
      </c>
    </row>
    <row r="461" spans="1:17" ht="31.5" x14ac:dyDescent="0.25">
      <c r="A461" s="215">
        <v>8</v>
      </c>
      <c r="B461" s="219" t="s">
        <v>44</v>
      </c>
      <c r="C461" s="217" t="s">
        <v>48</v>
      </c>
      <c r="D461" s="241" t="s">
        <v>48</v>
      </c>
      <c r="E461" s="241" t="s">
        <v>48</v>
      </c>
      <c r="F461" s="265" t="s">
        <v>48</v>
      </c>
      <c r="G461" s="217" t="s">
        <v>48</v>
      </c>
      <c r="H461" s="217" t="s">
        <v>48</v>
      </c>
      <c r="I461" s="240" t="s">
        <v>48</v>
      </c>
      <c r="J461" s="240" t="s">
        <v>48</v>
      </c>
      <c r="K461" s="217" t="s">
        <v>48</v>
      </c>
      <c r="L461" s="217" t="s">
        <v>48</v>
      </c>
      <c r="M461" s="275" t="s">
        <v>48</v>
      </c>
      <c r="N461" s="275" t="s">
        <v>48</v>
      </c>
      <c r="O461" s="281" t="s">
        <v>48</v>
      </c>
      <c r="P461" s="275" t="s">
        <v>48</v>
      </c>
      <c r="Q461" s="275" t="s">
        <v>48</v>
      </c>
    </row>
    <row r="462" spans="1:17" x14ac:dyDescent="0.25">
      <c r="A462" s="253"/>
      <c r="B462" s="272"/>
      <c r="C462" s="212"/>
      <c r="D462" s="210"/>
      <c r="E462" s="210"/>
      <c r="F462" s="263"/>
      <c r="G462" s="212"/>
      <c r="H462" s="212"/>
      <c r="I462" s="214"/>
      <c r="J462" s="214"/>
      <c r="K462" s="212"/>
      <c r="L462" s="212"/>
    </row>
    <row r="463" spans="1:17" ht="102" customHeight="1" x14ac:dyDescent="0.25">
      <c r="A463" s="387" t="s">
        <v>45</v>
      </c>
      <c r="B463" s="387"/>
      <c r="C463" s="387"/>
      <c r="D463" s="387"/>
      <c r="E463" s="387"/>
      <c r="F463" s="387"/>
      <c r="G463" s="387"/>
      <c r="H463" s="387"/>
      <c r="I463" s="387"/>
      <c r="J463" s="387"/>
      <c r="K463" s="387"/>
      <c r="L463" s="387"/>
      <c r="M463" s="387"/>
      <c r="N463" s="387"/>
      <c r="O463" s="387"/>
      <c r="P463" s="387"/>
      <c r="Q463" s="387"/>
    </row>
    <row r="464" spans="1:17" ht="22.5" customHeight="1" x14ac:dyDescent="0.25">
      <c r="A464" s="459" t="s">
        <v>46</v>
      </c>
      <c r="B464" s="459"/>
      <c r="C464" s="459"/>
      <c r="D464" s="459"/>
      <c r="E464" s="459"/>
      <c r="F464" s="459"/>
      <c r="G464" s="459"/>
      <c r="H464" s="459"/>
      <c r="I464" s="459"/>
      <c r="J464" s="459"/>
      <c r="K464" s="459"/>
      <c r="L464" s="459"/>
      <c r="P464" s="280">
        <f>P412+P458</f>
        <v>339625831.24397063</v>
      </c>
    </row>
    <row r="465" spans="1:12" x14ac:dyDescent="0.25">
      <c r="A465" s="344"/>
      <c r="B465" s="344"/>
      <c r="C465" s="254"/>
      <c r="D465" s="254"/>
      <c r="E465" s="255"/>
      <c r="F465" s="268"/>
      <c r="G465" s="256"/>
      <c r="H465" s="256"/>
      <c r="I465" s="257"/>
      <c r="J465" s="257"/>
      <c r="K465" s="254"/>
      <c r="L465" s="254"/>
    </row>
    <row r="466" spans="1:12" x14ac:dyDescent="0.25">
      <c r="A466" s="258" t="s">
        <v>4</v>
      </c>
      <c r="B466" s="258"/>
      <c r="C466" s="210"/>
      <c r="D466" s="210"/>
      <c r="E466" s="210"/>
      <c r="F466" s="269"/>
      <c r="G466" s="212"/>
      <c r="H466" s="212"/>
      <c r="I466" s="260"/>
      <c r="J466" s="260"/>
      <c r="K466" s="210"/>
      <c r="L466" s="210"/>
    </row>
    <row r="467" spans="1:12" x14ac:dyDescent="0.25">
      <c r="A467" s="258"/>
      <c r="B467" s="258"/>
      <c r="C467" s="210"/>
      <c r="D467" s="210"/>
      <c r="E467" s="210"/>
      <c r="F467" s="269"/>
      <c r="G467" s="212"/>
      <c r="H467" s="212"/>
      <c r="I467" s="260"/>
      <c r="J467" s="260"/>
      <c r="K467" s="210"/>
      <c r="L467" s="210"/>
    </row>
    <row r="468" spans="1:12" x14ac:dyDescent="0.25">
      <c r="A468" s="259"/>
      <c r="B468" s="258"/>
      <c r="C468" s="210"/>
      <c r="D468" s="210"/>
      <c r="E468" s="210"/>
      <c r="F468" s="269"/>
      <c r="G468" s="212"/>
      <c r="H468" s="212"/>
      <c r="I468" s="260"/>
      <c r="J468" s="260"/>
      <c r="K468" s="210"/>
      <c r="L468" s="210"/>
    </row>
    <row r="469" spans="1:12" x14ac:dyDescent="0.25">
      <c r="A469" s="258" t="s">
        <v>5</v>
      </c>
      <c r="B469" s="258"/>
      <c r="C469" s="210"/>
      <c r="D469" s="210"/>
      <c r="E469" s="210"/>
      <c r="F469" s="270"/>
      <c r="G469" s="212"/>
      <c r="H469" s="212"/>
      <c r="I469" s="260"/>
      <c r="J469" s="260"/>
      <c r="K469" s="210"/>
      <c r="L469" s="261"/>
    </row>
    <row r="470" spans="1:12" x14ac:dyDescent="0.25">
      <c r="A470" s="258"/>
      <c r="B470" s="258"/>
      <c r="C470" s="210"/>
      <c r="D470" s="210"/>
      <c r="E470" s="210"/>
      <c r="F470" s="269" t="s">
        <v>6</v>
      </c>
      <c r="G470" s="212"/>
      <c r="H470" s="212"/>
      <c r="I470" s="260"/>
      <c r="J470" s="260"/>
      <c r="K470" s="210"/>
      <c r="L470" s="210" t="s">
        <v>7</v>
      </c>
    </row>
    <row r="471" spans="1:12" x14ac:dyDescent="0.25">
      <c r="B471" s="258"/>
      <c r="C471" s="210"/>
      <c r="F471" s="269"/>
      <c r="G471" s="212"/>
      <c r="H471" s="212"/>
      <c r="I471" s="260"/>
      <c r="J471" s="260"/>
      <c r="K471" s="210"/>
      <c r="L471" s="210"/>
    </row>
    <row r="472" spans="1:12" x14ac:dyDescent="0.25">
      <c r="A472" s="258" t="s">
        <v>8</v>
      </c>
      <c r="B472" s="258"/>
      <c r="C472" s="210"/>
      <c r="D472" s="210"/>
      <c r="E472" s="210"/>
      <c r="F472" s="270"/>
      <c r="G472" s="212"/>
      <c r="H472" s="212"/>
      <c r="I472" s="260"/>
      <c r="J472" s="260"/>
      <c r="K472" s="210"/>
      <c r="L472" s="261"/>
    </row>
    <row r="473" spans="1:12" x14ac:dyDescent="0.25">
      <c r="A473" s="258"/>
      <c r="B473" s="258"/>
      <c r="C473" s="210"/>
      <c r="D473" s="210"/>
      <c r="E473" s="210"/>
      <c r="F473" s="269" t="s">
        <v>6</v>
      </c>
      <c r="G473" s="212"/>
      <c r="H473" s="212"/>
      <c r="I473" s="260"/>
      <c r="J473" s="260"/>
      <c r="K473" s="210"/>
      <c r="L473" s="210" t="s">
        <v>7</v>
      </c>
    </row>
    <row r="474" spans="1:12" x14ac:dyDescent="0.25">
      <c r="B474" s="258" t="s">
        <v>9</v>
      </c>
      <c r="C474" s="210"/>
      <c r="D474" s="210"/>
      <c r="E474" s="210"/>
      <c r="F474" s="269"/>
      <c r="G474" s="212"/>
      <c r="H474" s="212"/>
      <c r="I474" s="260"/>
      <c r="J474" s="260"/>
      <c r="K474" s="210"/>
      <c r="L474" s="210"/>
    </row>
    <row r="475" spans="1:12" x14ac:dyDescent="0.25">
      <c r="B475" s="258" t="s">
        <v>10</v>
      </c>
      <c r="C475" s="210"/>
      <c r="D475" s="212"/>
      <c r="E475" s="213"/>
      <c r="F475" s="269"/>
      <c r="G475" s="212"/>
      <c r="H475" s="212"/>
      <c r="I475" s="260"/>
      <c r="J475" s="260"/>
      <c r="K475" s="210"/>
      <c r="L475" s="210"/>
    </row>
  </sheetData>
  <autoFilter ref="A9:Q412"/>
  <mergeCells count="920">
    <mergeCell ref="Q450:Q451"/>
    <mergeCell ref="A453:A455"/>
    <mergeCell ref="A463:Q463"/>
    <mergeCell ref="A464:L464"/>
    <mergeCell ref="K450:K451"/>
    <mergeCell ref="L450:L451"/>
    <mergeCell ref="M450:M451"/>
    <mergeCell ref="N450:N451"/>
    <mergeCell ref="O450:O451"/>
    <mergeCell ref="P450:P451"/>
    <mergeCell ref="A450:A451"/>
    <mergeCell ref="B450:B451"/>
    <mergeCell ref="C450:C451"/>
    <mergeCell ref="D450:D451"/>
    <mergeCell ref="E450:E451"/>
    <mergeCell ref="F450:F451"/>
    <mergeCell ref="N446:N447"/>
    <mergeCell ref="O446:O447"/>
    <mergeCell ref="P446:P447"/>
    <mergeCell ref="Q446:Q447"/>
    <mergeCell ref="A448:A449"/>
    <mergeCell ref="B448:B449"/>
    <mergeCell ref="E448:E449"/>
    <mergeCell ref="Q444:Q445"/>
    <mergeCell ref="A446:A447"/>
    <mergeCell ref="B446:B447"/>
    <mergeCell ref="C446:C447"/>
    <mergeCell ref="D446:D447"/>
    <mergeCell ref="E446:E447"/>
    <mergeCell ref="F446:F447"/>
    <mergeCell ref="K446:K447"/>
    <mergeCell ref="L446:L447"/>
    <mergeCell ref="M446:M447"/>
    <mergeCell ref="K444:K445"/>
    <mergeCell ref="L444:L445"/>
    <mergeCell ref="M444:M445"/>
    <mergeCell ref="N444:N445"/>
    <mergeCell ref="O444:O445"/>
    <mergeCell ref="P444:P445"/>
    <mergeCell ref="A444:A445"/>
    <mergeCell ref="B444:B445"/>
    <mergeCell ref="C444:C445"/>
    <mergeCell ref="D444:D445"/>
    <mergeCell ref="E444:E445"/>
    <mergeCell ref="F444:F445"/>
    <mergeCell ref="Q437:Q438"/>
    <mergeCell ref="A439:A443"/>
    <mergeCell ref="B439:B443"/>
    <mergeCell ref="C439:C443"/>
    <mergeCell ref="D439:D443"/>
    <mergeCell ref="E439:E443"/>
    <mergeCell ref="F439:F443"/>
    <mergeCell ref="K437:K438"/>
    <mergeCell ref="L437:L438"/>
    <mergeCell ref="M437:M438"/>
    <mergeCell ref="N437:N438"/>
    <mergeCell ref="O437:O438"/>
    <mergeCell ref="P437:P438"/>
    <mergeCell ref="N434:N436"/>
    <mergeCell ref="O434:O436"/>
    <mergeCell ref="P434:P436"/>
    <mergeCell ref="Q434:Q436"/>
    <mergeCell ref="A437:A438"/>
    <mergeCell ref="B437:B438"/>
    <mergeCell ref="C437:C438"/>
    <mergeCell ref="D437:D438"/>
    <mergeCell ref="E437:E438"/>
    <mergeCell ref="F437:F438"/>
    <mergeCell ref="A433:A436"/>
    <mergeCell ref="B433:B436"/>
    <mergeCell ref="C433:C436"/>
    <mergeCell ref="D433:D436"/>
    <mergeCell ref="E433:E436"/>
    <mergeCell ref="F433:F436"/>
    <mergeCell ref="K434:K436"/>
    <mergeCell ref="L434:L436"/>
    <mergeCell ref="M434:M436"/>
    <mergeCell ref="N429:N430"/>
    <mergeCell ref="O429:O430"/>
    <mergeCell ref="P429:P430"/>
    <mergeCell ref="Q429:Q430"/>
    <mergeCell ref="B431:B432"/>
    <mergeCell ref="C431:C432"/>
    <mergeCell ref="D431:D432"/>
    <mergeCell ref="E431:E432"/>
    <mergeCell ref="F431:F432"/>
    <mergeCell ref="Q431:Q432"/>
    <mergeCell ref="K431:K432"/>
    <mergeCell ref="L431:L432"/>
    <mergeCell ref="M431:M432"/>
    <mergeCell ref="N431:N432"/>
    <mergeCell ref="O431:O432"/>
    <mergeCell ref="P431:P432"/>
    <mergeCell ref="A429:A432"/>
    <mergeCell ref="B429:B430"/>
    <mergeCell ref="C429:C430"/>
    <mergeCell ref="D429:D430"/>
    <mergeCell ref="E429:E430"/>
    <mergeCell ref="F429:F430"/>
    <mergeCell ref="K429:K430"/>
    <mergeCell ref="L429:L430"/>
    <mergeCell ref="M429:M430"/>
    <mergeCell ref="M425:M426"/>
    <mergeCell ref="N425:N426"/>
    <mergeCell ref="O425:O426"/>
    <mergeCell ref="P425:P426"/>
    <mergeCell ref="Q425:Q426"/>
    <mergeCell ref="K427:K428"/>
    <mergeCell ref="L427:L428"/>
    <mergeCell ref="M427:M428"/>
    <mergeCell ref="N427:N428"/>
    <mergeCell ref="O427:O428"/>
    <mergeCell ref="P427:P428"/>
    <mergeCell ref="Q427:Q428"/>
    <mergeCell ref="A425:A428"/>
    <mergeCell ref="B425:B428"/>
    <mergeCell ref="C425:C428"/>
    <mergeCell ref="D425:D428"/>
    <mergeCell ref="E425:E428"/>
    <mergeCell ref="F425:F428"/>
    <mergeCell ref="K425:K426"/>
    <mergeCell ref="L425:L426"/>
    <mergeCell ref="F423:F424"/>
    <mergeCell ref="K423:K424"/>
    <mergeCell ref="L423:L424"/>
    <mergeCell ref="P409:P410"/>
    <mergeCell ref="Q409:Q410"/>
    <mergeCell ref="A415:Q415"/>
    <mergeCell ref="A423:A424"/>
    <mergeCell ref="B423:B424"/>
    <mergeCell ref="C423:C424"/>
    <mergeCell ref="D423:D424"/>
    <mergeCell ref="E423:E424"/>
    <mergeCell ref="P423:P424"/>
    <mergeCell ref="Q423:Q424"/>
    <mergeCell ref="M423:M424"/>
    <mergeCell ref="N423:N424"/>
    <mergeCell ref="O423:O424"/>
    <mergeCell ref="Q389:Q408"/>
    <mergeCell ref="A409:A410"/>
    <mergeCell ref="B409:B410"/>
    <mergeCell ref="C409:C410"/>
    <mergeCell ref="D409:D410"/>
    <mergeCell ref="E409:E410"/>
    <mergeCell ref="F409:F410"/>
    <mergeCell ref="K409:K410"/>
    <mergeCell ref="L409:L410"/>
    <mergeCell ref="M409:M410"/>
    <mergeCell ref="K389:K408"/>
    <mergeCell ref="L389:L408"/>
    <mergeCell ref="M389:M408"/>
    <mergeCell ref="N389:N408"/>
    <mergeCell ref="O389:O408"/>
    <mergeCell ref="P389:P408"/>
    <mergeCell ref="A389:A408"/>
    <mergeCell ref="B389:B408"/>
    <mergeCell ref="C389:C408"/>
    <mergeCell ref="D389:D408"/>
    <mergeCell ref="E389:E408"/>
    <mergeCell ref="F389:F408"/>
    <mergeCell ref="N409:N410"/>
    <mergeCell ref="O409:O410"/>
    <mergeCell ref="B371:B381"/>
    <mergeCell ref="C371:C381"/>
    <mergeCell ref="D371:D381"/>
    <mergeCell ref="E371:E381"/>
    <mergeCell ref="F371:F381"/>
    <mergeCell ref="B382:B387"/>
    <mergeCell ref="C382:C387"/>
    <mergeCell ref="D382:D387"/>
    <mergeCell ref="E382:E387"/>
    <mergeCell ref="F382:F387"/>
    <mergeCell ref="B365:B370"/>
    <mergeCell ref="C365:C370"/>
    <mergeCell ref="D365:D370"/>
    <mergeCell ref="E365:E370"/>
    <mergeCell ref="F365:F370"/>
    <mergeCell ref="K362:K363"/>
    <mergeCell ref="L362:L363"/>
    <mergeCell ref="M362:M363"/>
    <mergeCell ref="N362:N363"/>
    <mergeCell ref="N356:N357"/>
    <mergeCell ref="O356:O357"/>
    <mergeCell ref="P356:P357"/>
    <mergeCell ref="Q356:Q357"/>
    <mergeCell ref="A362:A363"/>
    <mergeCell ref="B362:B363"/>
    <mergeCell ref="C362:C363"/>
    <mergeCell ref="D362:D363"/>
    <mergeCell ref="E362:E363"/>
    <mergeCell ref="F362:F363"/>
    <mergeCell ref="Q362:Q363"/>
    <mergeCell ref="O362:O363"/>
    <mergeCell ref="P362:P363"/>
    <mergeCell ref="A356:A357"/>
    <mergeCell ref="B356:B357"/>
    <mergeCell ref="C356:C357"/>
    <mergeCell ref="D356:D357"/>
    <mergeCell ref="E356:E357"/>
    <mergeCell ref="F356:F357"/>
    <mergeCell ref="K356:K357"/>
    <mergeCell ref="L356:L357"/>
    <mergeCell ref="M356:M357"/>
    <mergeCell ref="P351:P352"/>
    <mergeCell ref="Q351:Q352"/>
    <mergeCell ref="A354:A355"/>
    <mergeCell ref="B354:B355"/>
    <mergeCell ref="C354:C355"/>
    <mergeCell ref="D354:D355"/>
    <mergeCell ref="E354:E355"/>
    <mergeCell ref="F354:F355"/>
    <mergeCell ref="Q354:Q355"/>
    <mergeCell ref="K354:K355"/>
    <mergeCell ref="L354:L355"/>
    <mergeCell ref="M354:M355"/>
    <mergeCell ref="N354:N355"/>
    <mergeCell ref="O354:O355"/>
    <mergeCell ref="P354:P355"/>
    <mergeCell ref="Q347:Q348"/>
    <mergeCell ref="A351:A352"/>
    <mergeCell ref="B351:B352"/>
    <mergeCell ref="C351:C352"/>
    <mergeCell ref="D351:D352"/>
    <mergeCell ref="E351:E352"/>
    <mergeCell ref="F351:F352"/>
    <mergeCell ref="K351:K352"/>
    <mergeCell ref="L351:L352"/>
    <mergeCell ref="M351:M352"/>
    <mergeCell ref="K347:K348"/>
    <mergeCell ref="L347:L348"/>
    <mergeCell ref="M347:M348"/>
    <mergeCell ref="N347:N348"/>
    <mergeCell ref="O347:O348"/>
    <mergeCell ref="P347:P348"/>
    <mergeCell ref="A347:A348"/>
    <mergeCell ref="B347:B348"/>
    <mergeCell ref="C347:C348"/>
    <mergeCell ref="D347:D348"/>
    <mergeCell ref="E347:E348"/>
    <mergeCell ref="F347:F348"/>
    <mergeCell ref="N351:N352"/>
    <mergeCell ref="O351:O352"/>
    <mergeCell ref="L345:L346"/>
    <mergeCell ref="M345:M346"/>
    <mergeCell ref="N345:N346"/>
    <mergeCell ref="O345:O346"/>
    <mergeCell ref="P345:P346"/>
    <mergeCell ref="Q345:Q346"/>
    <mergeCell ref="Q336:Q337"/>
    <mergeCell ref="A338:A339"/>
    <mergeCell ref="B338:B339"/>
    <mergeCell ref="A345:A346"/>
    <mergeCell ref="B345:B346"/>
    <mergeCell ref="C345:C346"/>
    <mergeCell ref="D345:D346"/>
    <mergeCell ref="E345:E346"/>
    <mergeCell ref="F345:F346"/>
    <mergeCell ref="K345:K346"/>
    <mergeCell ref="K336:K337"/>
    <mergeCell ref="L336:L337"/>
    <mergeCell ref="M336:M337"/>
    <mergeCell ref="N336:N337"/>
    <mergeCell ref="O336:O337"/>
    <mergeCell ref="P336:P337"/>
    <mergeCell ref="A336:A337"/>
    <mergeCell ref="B336:B337"/>
    <mergeCell ref="C336:C337"/>
    <mergeCell ref="D336:D337"/>
    <mergeCell ref="E336:E337"/>
    <mergeCell ref="F336:F337"/>
    <mergeCell ref="P311:P315"/>
    <mergeCell ref="Q311:Q315"/>
    <mergeCell ref="A326:A334"/>
    <mergeCell ref="B326:B334"/>
    <mergeCell ref="C326:C334"/>
    <mergeCell ref="D326:D334"/>
    <mergeCell ref="E326:E334"/>
    <mergeCell ref="F326:F334"/>
    <mergeCell ref="F311:F315"/>
    <mergeCell ref="K311:K315"/>
    <mergeCell ref="L311:L315"/>
    <mergeCell ref="M311:M315"/>
    <mergeCell ref="N311:N315"/>
    <mergeCell ref="O311:O315"/>
    <mergeCell ref="M308:M309"/>
    <mergeCell ref="N308:N309"/>
    <mergeCell ref="O308:O309"/>
    <mergeCell ref="P308:P309"/>
    <mergeCell ref="Q308:Q309"/>
    <mergeCell ref="A311:A315"/>
    <mergeCell ref="B311:B315"/>
    <mergeCell ref="C311:C315"/>
    <mergeCell ref="D311:D315"/>
    <mergeCell ref="E311:E315"/>
    <mergeCell ref="A308:A309"/>
    <mergeCell ref="B308:B309"/>
    <mergeCell ref="C308:C309"/>
    <mergeCell ref="D308:D309"/>
    <mergeCell ref="E308:E309"/>
    <mergeCell ref="F308:F309"/>
    <mergeCell ref="K308:K309"/>
    <mergeCell ref="L308:L309"/>
    <mergeCell ref="F300:F306"/>
    <mergeCell ref="K300:K306"/>
    <mergeCell ref="L300:L306"/>
    <mergeCell ref="O298:O299"/>
    <mergeCell ref="P298:P299"/>
    <mergeCell ref="Q298:Q299"/>
    <mergeCell ref="A300:A306"/>
    <mergeCell ref="B300:B306"/>
    <mergeCell ref="C300:C306"/>
    <mergeCell ref="D300:D306"/>
    <mergeCell ref="E300:E306"/>
    <mergeCell ref="P300:P306"/>
    <mergeCell ref="Q300:Q306"/>
    <mergeCell ref="M300:M306"/>
    <mergeCell ref="N300:N306"/>
    <mergeCell ref="O300:O306"/>
    <mergeCell ref="Q295:Q297"/>
    <mergeCell ref="R295:R297"/>
    <mergeCell ref="A298:A299"/>
    <mergeCell ref="B298:B299"/>
    <mergeCell ref="C298:C299"/>
    <mergeCell ref="D298:D299"/>
    <mergeCell ref="E298:E299"/>
    <mergeCell ref="F298:F299"/>
    <mergeCell ref="K298:K299"/>
    <mergeCell ref="L298:L299"/>
    <mergeCell ref="K295:K297"/>
    <mergeCell ref="L295:L297"/>
    <mergeCell ref="M295:M297"/>
    <mergeCell ref="N295:N297"/>
    <mergeCell ref="O295:O297"/>
    <mergeCell ref="P295:P297"/>
    <mergeCell ref="A294:A297"/>
    <mergeCell ref="B294:B297"/>
    <mergeCell ref="C294:C297"/>
    <mergeCell ref="D294:D297"/>
    <mergeCell ref="E294:E297"/>
    <mergeCell ref="F294:F297"/>
    <mergeCell ref="M298:M299"/>
    <mergeCell ref="N298:N299"/>
    <mergeCell ref="O284:O285"/>
    <mergeCell ref="P284:P285"/>
    <mergeCell ref="Q284:Q285"/>
    <mergeCell ref="A288:A293"/>
    <mergeCell ref="B288:B293"/>
    <mergeCell ref="C288:C293"/>
    <mergeCell ref="D288:D293"/>
    <mergeCell ref="E288:E293"/>
    <mergeCell ref="F288:F293"/>
    <mergeCell ref="B284:B285"/>
    <mergeCell ref="C284:C285"/>
    <mergeCell ref="D284:D285"/>
    <mergeCell ref="E284:E285"/>
    <mergeCell ref="F284:F285"/>
    <mergeCell ref="K284:K285"/>
    <mergeCell ref="L284:L285"/>
    <mergeCell ref="M284:M285"/>
    <mergeCell ref="N284:N285"/>
    <mergeCell ref="P272:P274"/>
    <mergeCell ref="Q272:Q274"/>
    <mergeCell ref="A275:A280"/>
    <mergeCell ref="B275:B280"/>
    <mergeCell ref="C275:C280"/>
    <mergeCell ref="D275:D280"/>
    <mergeCell ref="E275:E280"/>
    <mergeCell ref="F275:F280"/>
    <mergeCell ref="Q275:Q280"/>
    <mergeCell ref="K275:K280"/>
    <mergeCell ref="L275:L280"/>
    <mergeCell ref="M275:M280"/>
    <mergeCell ref="N275:N280"/>
    <mergeCell ref="O275:O280"/>
    <mergeCell ref="P275:P280"/>
    <mergeCell ref="Q267:Q268"/>
    <mergeCell ref="A272:A274"/>
    <mergeCell ref="B272:B274"/>
    <mergeCell ref="C272:C274"/>
    <mergeCell ref="D272:D274"/>
    <mergeCell ref="E272:E274"/>
    <mergeCell ref="F272:F274"/>
    <mergeCell ref="K272:K274"/>
    <mergeCell ref="L272:L274"/>
    <mergeCell ref="M272:M274"/>
    <mergeCell ref="K267:K268"/>
    <mergeCell ref="L267:L268"/>
    <mergeCell ref="M267:M268"/>
    <mergeCell ref="N267:N268"/>
    <mergeCell ref="O267:O268"/>
    <mergeCell ref="P267:P268"/>
    <mergeCell ref="A267:A268"/>
    <mergeCell ref="B267:B268"/>
    <mergeCell ref="C267:C268"/>
    <mergeCell ref="D267:D268"/>
    <mergeCell ref="E267:E268"/>
    <mergeCell ref="F267:F268"/>
    <mergeCell ref="N272:N274"/>
    <mergeCell ref="O272:O274"/>
    <mergeCell ref="A262:A263"/>
    <mergeCell ref="B262:B263"/>
    <mergeCell ref="C262:C263"/>
    <mergeCell ref="D262:D263"/>
    <mergeCell ref="E262:E263"/>
    <mergeCell ref="F262:F263"/>
    <mergeCell ref="F256:F257"/>
    <mergeCell ref="K256:K257"/>
    <mergeCell ref="L256:L257"/>
    <mergeCell ref="P253:P254"/>
    <mergeCell ref="Q253:Q254"/>
    <mergeCell ref="A256:A257"/>
    <mergeCell ref="B256:B257"/>
    <mergeCell ref="C256:C257"/>
    <mergeCell ref="D256:D257"/>
    <mergeCell ref="E256:E257"/>
    <mergeCell ref="P256:P257"/>
    <mergeCell ref="Q256:Q257"/>
    <mergeCell ref="M256:M257"/>
    <mergeCell ref="N256:N257"/>
    <mergeCell ref="O256:O257"/>
    <mergeCell ref="A244:A252"/>
    <mergeCell ref="B244:B252"/>
    <mergeCell ref="C244:C252"/>
    <mergeCell ref="D244:D252"/>
    <mergeCell ref="E244:E252"/>
    <mergeCell ref="P244:P252"/>
    <mergeCell ref="Q244:Q252"/>
    <mergeCell ref="A253:A255"/>
    <mergeCell ref="B253:B255"/>
    <mergeCell ref="C253:C255"/>
    <mergeCell ref="D253:D255"/>
    <mergeCell ref="E253:E255"/>
    <mergeCell ref="F253:F255"/>
    <mergeCell ref="K253:K254"/>
    <mergeCell ref="L253:L254"/>
    <mergeCell ref="F244:F252"/>
    <mergeCell ref="K244:K252"/>
    <mergeCell ref="L244:L252"/>
    <mergeCell ref="M244:M252"/>
    <mergeCell ref="N244:N252"/>
    <mergeCell ref="O244:O252"/>
    <mergeCell ref="M253:M254"/>
    <mergeCell ref="N253:N254"/>
    <mergeCell ref="O253:O254"/>
    <mergeCell ref="P239:P240"/>
    <mergeCell ref="Q239:Q240"/>
    <mergeCell ref="A242:A243"/>
    <mergeCell ref="B242:B243"/>
    <mergeCell ref="C242:C243"/>
    <mergeCell ref="D242:D243"/>
    <mergeCell ref="E242:E243"/>
    <mergeCell ref="F242:F243"/>
    <mergeCell ref="K242:K243"/>
    <mergeCell ref="L242:L243"/>
    <mergeCell ref="F239:F240"/>
    <mergeCell ref="K239:K240"/>
    <mergeCell ref="L239:L240"/>
    <mergeCell ref="M239:M240"/>
    <mergeCell ref="N239:N240"/>
    <mergeCell ref="O239:O240"/>
    <mergeCell ref="M242:M243"/>
    <mergeCell ref="N242:N243"/>
    <mergeCell ref="O242:O243"/>
    <mergeCell ref="P242:P243"/>
    <mergeCell ref="Q242:Q243"/>
    <mergeCell ref="A236:A237"/>
    <mergeCell ref="B236:B237"/>
    <mergeCell ref="C236:C237"/>
    <mergeCell ref="E236:E237"/>
    <mergeCell ref="A239:A240"/>
    <mergeCell ref="B239:B240"/>
    <mergeCell ref="C239:C240"/>
    <mergeCell ref="D239:D240"/>
    <mergeCell ref="E239:E240"/>
    <mergeCell ref="Q222:Q223"/>
    <mergeCell ref="A226:A232"/>
    <mergeCell ref="B226:B232"/>
    <mergeCell ref="C226:C232"/>
    <mergeCell ref="D226:D232"/>
    <mergeCell ref="E226:E232"/>
    <mergeCell ref="F226:F232"/>
    <mergeCell ref="K226:K232"/>
    <mergeCell ref="L226:L232"/>
    <mergeCell ref="K222:K223"/>
    <mergeCell ref="L222:L223"/>
    <mergeCell ref="M222:M223"/>
    <mergeCell ref="N222:N223"/>
    <mergeCell ref="O222:O223"/>
    <mergeCell ref="P222:P223"/>
    <mergeCell ref="G219:G220"/>
    <mergeCell ref="H219:H220"/>
    <mergeCell ref="I219:I220"/>
    <mergeCell ref="J219:J220"/>
    <mergeCell ref="A222:A223"/>
    <mergeCell ref="B222:B223"/>
    <mergeCell ref="C222:C223"/>
    <mergeCell ref="D222:D223"/>
    <mergeCell ref="E222:E223"/>
    <mergeCell ref="F222:F223"/>
    <mergeCell ref="A219:A220"/>
    <mergeCell ref="B219:B220"/>
    <mergeCell ref="C219:C220"/>
    <mergeCell ref="D219:D220"/>
    <mergeCell ref="E219:E220"/>
    <mergeCell ref="F219:F220"/>
    <mergeCell ref="K198:K199"/>
    <mergeCell ref="L198:L199"/>
    <mergeCell ref="M198:M199"/>
    <mergeCell ref="A210:A218"/>
    <mergeCell ref="B210:B218"/>
    <mergeCell ref="C210:C218"/>
    <mergeCell ref="D210:D218"/>
    <mergeCell ref="E210:E218"/>
    <mergeCell ref="F210:F218"/>
    <mergeCell ref="I204:I205"/>
    <mergeCell ref="J204:J205"/>
    <mergeCell ref="M204:M205"/>
    <mergeCell ref="D186:D188"/>
    <mergeCell ref="E186:E188"/>
    <mergeCell ref="F186:F188"/>
    <mergeCell ref="K186:K188"/>
    <mergeCell ref="N198:N199"/>
    <mergeCell ref="O198:O199"/>
    <mergeCell ref="P198:P199"/>
    <mergeCell ref="Q198:Q199"/>
    <mergeCell ref="A204:A205"/>
    <mergeCell ref="B204:B205"/>
    <mergeCell ref="E204:E205"/>
    <mergeCell ref="F204:F205"/>
    <mergeCell ref="G204:G205"/>
    <mergeCell ref="H204:H205"/>
    <mergeCell ref="Q204:Q205"/>
    <mergeCell ref="N204:N205"/>
    <mergeCell ref="O204:O205"/>
    <mergeCell ref="P204:P205"/>
    <mergeCell ref="A198:A199"/>
    <mergeCell ref="B198:B199"/>
    <mergeCell ref="C198:C199"/>
    <mergeCell ref="D198:D199"/>
    <mergeCell ref="E198:E199"/>
    <mergeCell ref="F198:F199"/>
    <mergeCell ref="A189:A196"/>
    <mergeCell ref="B189:B196"/>
    <mergeCell ref="C189:C196"/>
    <mergeCell ref="D189:D196"/>
    <mergeCell ref="E189:E196"/>
    <mergeCell ref="F189:F196"/>
    <mergeCell ref="Q189:Q196"/>
    <mergeCell ref="K189:K196"/>
    <mergeCell ref="L189:L196"/>
    <mergeCell ref="M189:M196"/>
    <mergeCell ref="N189:N196"/>
    <mergeCell ref="O189:O196"/>
    <mergeCell ref="P189:P196"/>
    <mergeCell ref="L186:L188"/>
    <mergeCell ref="M186:M188"/>
    <mergeCell ref="P180:P181"/>
    <mergeCell ref="Q180:Q181"/>
    <mergeCell ref="A183:A184"/>
    <mergeCell ref="B183:B184"/>
    <mergeCell ref="C183:C184"/>
    <mergeCell ref="D183:D184"/>
    <mergeCell ref="E183:E184"/>
    <mergeCell ref="F183:F184"/>
    <mergeCell ref="Q183:Q184"/>
    <mergeCell ref="K183:K184"/>
    <mergeCell ref="L183:L184"/>
    <mergeCell ref="M183:M184"/>
    <mergeCell ref="N183:N184"/>
    <mergeCell ref="O183:O184"/>
    <mergeCell ref="P183:P184"/>
    <mergeCell ref="N186:N188"/>
    <mergeCell ref="O186:O188"/>
    <mergeCell ref="P186:P188"/>
    <mergeCell ref="Q186:Q188"/>
    <mergeCell ref="A186:A188"/>
    <mergeCell ref="B186:B188"/>
    <mergeCell ref="C186:C188"/>
    <mergeCell ref="A176:A177"/>
    <mergeCell ref="B176:B177"/>
    <mergeCell ref="C176:C177"/>
    <mergeCell ref="D176:D177"/>
    <mergeCell ref="E176:E177"/>
    <mergeCell ref="F176:F177"/>
    <mergeCell ref="Q176:Q177"/>
    <mergeCell ref="A180:A181"/>
    <mergeCell ref="B180:B181"/>
    <mergeCell ref="C180:C181"/>
    <mergeCell ref="D180:D181"/>
    <mergeCell ref="E180:E181"/>
    <mergeCell ref="F180:F181"/>
    <mergeCell ref="K180:K181"/>
    <mergeCell ref="L180:L181"/>
    <mergeCell ref="M180:M181"/>
    <mergeCell ref="K176:K177"/>
    <mergeCell ref="L176:L177"/>
    <mergeCell ref="M176:M177"/>
    <mergeCell ref="N176:N177"/>
    <mergeCell ref="O176:O177"/>
    <mergeCell ref="P176:P177"/>
    <mergeCell ref="N180:N181"/>
    <mergeCell ref="O180:O181"/>
    <mergeCell ref="S172:S175"/>
    <mergeCell ref="A173:A174"/>
    <mergeCell ref="B173:B174"/>
    <mergeCell ref="C173:C174"/>
    <mergeCell ref="D173:D174"/>
    <mergeCell ref="E173:E174"/>
    <mergeCell ref="F173:F174"/>
    <mergeCell ref="K173:K174"/>
    <mergeCell ref="L173:L174"/>
    <mergeCell ref="M173:M174"/>
    <mergeCell ref="N173:N174"/>
    <mergeCell ref="O173:O174"/>
    <mergeCell ref="P173:P174"/>
    <mergeCell ref="Q173:Q174"/>
    <mergeCell ref="A163:A167"/>
    <mergeCell ref="B163:B167"/>
    <mergeCell ref="C164:C167"/>
    <mergeCell ref="D164:D167"/>
    <mergeCell ref="E164:E167"/>
    <mergeCell ref="F164:F167"/>
    <mergeCell ref="K156:K160"/>
    <mergeCell ref="L156:L160"/>
    <mergeCell ref="M156:M160"/>
    <mergeCell ref="A156:A160"/>
    <mergeCell ref="B156:B160"/>
    <mergeCell ref="C156:C160"/>
    <mergeCell ref="D156:D160"/>
    <mergeCell ref="E156:E160"/>
    <mergeCell ref="F156:F160"/>
    <mergeCell ref="Q156:Q160"/>
    <mergeCell ref="A161:A162"/>
    <mergeCell ref="B161:B162"/>
    <mergeCell ref="N156:N160"/>
    <mergeCell ref="O156:O160"/>
    <mergeCell ref="P156:P160"/>
    <mergeCell ref="A141:A142"/>
    <mergeCell ref="A152:A153"/>
    <mergeCell ref="B152:B153"/>
    <mergeCell ref="B154:B155"/>
    <mergeCell ref="K154:K155"/>
    <mergeCell ref="L154:L155"/>
    <mergeCell ref="M154:M155"/>
    <mergeCell ref="N147:N149"/>
    <mergeCell ref="O147:O149"/>
    <mergeCell ref="N154:N155"/>
    <mergeCell ref="O154:O155"/>
    <mergeCell ref="A147:A149"/>
    <mergeCell ref="B147:B149"/>
    <mergeCell ref="C147:C149"/>
    <mergeCell ref="D147:D149"/>
    <mergeCell ref="E147:E149"/>
    <mergeCell ref="F147:F149"/>
    <mergeCell ref="K147:K149"/>
    <mergeCell ref="L147:L149"/>
    <mergeCell ref="M147:M149"/>
    <mergeCell ref="N135:N136"/>
    <mergeCell ref="O135:O136"/>
    <mergeCell ref="P135:P136"/>
    <mergeCell ref="Q147:Q149"/>
    <mergeCell ref="C151:C154"/>
    <mergeCell ref="D151:D154"/>
    <mergeCell ref="E151:E154"/>
    <mergeCell ref="F151:F154"/>
    <mergeCell ref="K151:K153"/>
    <mergeCell ref="L151:L153"/>
    <mergeCell ref="Q141:Q142"/>
    <mergeCell ref="K141:K142"/>
    <mergeCell ref="L141:L142"/>
    <mergeCell ref="M141:M142"/>
    <mergeCell ref="N141:N142"/>
    <mergeCell ref="O141:O142"/>
    <mergeCell ref="P141:P142"/>
    <mergeCell ref="P147:P149"/>
    <mergeCell ref="P154:P155"/>
    <mergeCell ref="Q154:Q155"/>
    <mergeCell ref="P132:P133"/>
    <mergeCell ref="Q132:Q133"/>
    <mergeCell ref="A135:A139"/>
    <mergeCell ref="B135:B139"/>
    <mergeCell ref="C135:C139"/>
    <mergeCell ref="D135:D139"/>
    <mergeCell ref="E135:E139"/>
    <mergeCell ref="F135:F139"/>
    <mergeCell ref="B141:B142"/>
    <mergeCell ref="C141:C142"/>
    <mergeCell ref="D141:D142"/>
    <mergeCell ref="E141:E142"/>
    <mergeCell ref="F141:F142"/>
    <mergeCell ref="Q135:Q136"/>
    <mergeCell ref="K137:K139"/>
    <mergeCell ref="L137:L139"/>
    <mergeCell ref="M137:M139"/>
    <mergeCell ref="N137:N139"/>
    <mergeCell ref="O137:O139"/>
    <mergeCell ref="P137:P139"/>
    <mergeCell ref="Q137:Q139"/>
    <mergeCell ref="K135:K136"/>
    <mergeCell ref="L135:L136"/>
    <mergeCell ref="M135:M136"/>
    <mergeCell ref="Q121:Q127"/>
    <mergeCell ref="A132:A133"/>
    <mergeCell ref="B132:B133"/>
    <mergeCell ref="C132:C133"/>
    <mergeCell ref="D132:D133"/>
    <mergeCell ref="E132:E133"/>
    <mergeCell ref="F132:F133"/>
    <mergeCell ref="K132:K133"/>
    <mergeCell ref="L132:L133"/>
    <mergeCell ref="M132:M133"/>
    <mergeCell ref="K121:K127"/>
    <mergeCell ref="L121:L127"/>
    <mergeCell ref="M121:M127"/>
    <mergeCell ref="N121:N127"/>
    <mergeCell ref="O121:O127"/>
    <mergeCell ref="P121:P127"/>
    <mergeCell ref="A121:A127"/>
    <mergeCell ref="B121:B127"/>
    <mergeCell ref="C121:C127"/>
    <mergeCell ref="D121:D127"/>
    <mergeCell ref="E121:E127"/>
    <mergeCell ref="F121:F127"/>
    <mergeCell ref="N132:N133"/>
    <mergeCell ref="O132:O133"/>
    <mergeCell ref="A117:A118"/>
    <mergeCell ref="B117:B118"/>
    <mergeCell ref="C117:C118"/>
    <mergeCell ref="D117:D118"/>
    <mergeCell ref="E117:E118"/>
    <mergeCell ref="F117:F118"/>
    <mergeCell ref="K112:K116"/>
    <mergeCell ref="L112:L116"/>
    <mergeCell ref="M112:M116"/>
    <mergeCell ref="P108:P110"/>
    <mergeCell ref="Q108:Q110"/>
    <mergeCell ref="A111:A116"/>
    <mergeCell ref="B112:B116"/>
    <mergeCell ref="C112:C116"/>
    <mergeCell ref="D112:D116"/>
    <mergeCell ref="E112:E116"/>
    <mergeCell ref="F112:F116"/>
    <mergeCell ref="Q112:Q116"/>
    <mergeCell ref="N112:N116"/>
    <mergeCell ref="O112:O116"/>
    <mergeCell ref="P112:P116"/>
    <mergeCell ref="Q65:Q74"/>
    <mergeCell ref="A108:A110"/>
    <mergeCell ref="B108:B110"/>
    <mergeCell ref="C108:C110"/>
    <mergeCell ref="D108:D110"/>
    <mergeCell ref="E108:E110"/>
    <mergeCell ref="F108:F110"/>
    <mergeCell ref="K108:K110"/>
    <mergeCell ref="L108:L110"/>
    <mergeCell ref="M108:M110"/>
    <mergeCell ref="K65:K74"/>
    <mergeCell ref="L65:L74"/>
    <mergeCell ref="M65:M74"/>
    <mergeCell ref="N65:N74"/>
    <mergeCell ref="O65:O74"/>
    <mergeCell ref="P65:P74"/>
    <mergeCell ref="A65:A74"/>
    <mergeCell ref="B65:B74"/>
    <mergeCell ref="C65:C74"/>
    <mergeCell ref="D65:D74"/>
    <mergeCell ref="E65:E74"/>
    <mergeCell ref="F65:F74"/>
    <mergeCell ref="N108:N110"/>
    <mergeCell ref="O108:O110"/>
    <mergeCell ref="J56:J57"/>
    <mergeCell ref="R56:R57"/>
    <mergeCell ref="A60:A61"/>
    <mergeCell ref="B60:B61"/>
    <mergeCell ref="C60:C61"/>
    <mergeCell ref="D60:D61"/>
    <mergeCell ref="E60:E61"/>
    <mergeCell ref="F60:F61"/>
    <mergeCell ref="J54:J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A49:A55"/>
    <mergeCell ref="B49:B55"/>
    <mergeCell ref="C49:C55"/>
    <mergeCell ref="D49:D55"/>
    <mergeCell ref="E49:E55"/>
    <mergeCell ref="F49:F55"/>
    <mergeCell ref="G54:G55"/>
    <mergeCell ref="H54:H55"/>
    <mergeCell ref="I54:I55"/>
    <mergeCell ref="N42:N43"/>
    <mergeCell ref="O42:O43"/>
    <mergeCell ref="P42:P43"/>
    <mergeCell ref="Q42:Q43"/>
    <mergeCell ref="A46:A47"/>
    <mergeCell ref="B46:B47"/>
    <mergeCell ref="C46:C47"/>
    <mergeCell ref="D46:D47"/>
    <mergeCell ref="E46:E47"/>
    <mergeCell ref="F46:F47"/>
    <mergeCell ref="Q46:Q47"/>
    <mergeCell ref="K46:K47"/>
    <mergeCell ref="L46:L47"/>
    <mergeCell ref="M46:M47"/>
    <mergeCell ref="N46:N47"/>
    <mergeCell ref="O46:O47"/>
    <mergeCell ref="P46:P47"/>
    <mergeCell ref="A42:A43"/>
    <mergeCell ref="B42:B43"/>
    <mergeCell ref="C42:C43"/>
    <mergeCell ref="D42:D43"/>
    <mergeCell ref="E42:E43"/>
    <mergeCell ref="F42:F43"/>
    <mergeCell ref="K42:K43"/>
    <mergeCell ref="L42:L43"/>
    <mergeCell ref="M42:M43"/>
    <mergeCell ref="N31:N32"/>
    <mergeCell ref="O31:O32"/>
    <mergeCell ref="P31:P32"/>
    <mergeCell ref="Q31:Q32"/>
    <mergeCell ref="A34:A35"/>
    <mergeCell ref="B34:B35"/>
    <mergeCell ref="C34:C35"/>
    <mergeCell ref="D34:D35"/>
    <mergeCell ref="E34:E35"/>
    <mergeCell ref="F34:F35"/>
    <mergeCell ref="Q34:Q35"/>
    <mergeCell ref="K34:K35"/>
    <mergeCell ref="L34:L35"/>
    <mergeCell ref="M34:M35"/>
    <mergeCell ref="N34:N35"/>
    <mergeCell ref="O34:O35"/>
    <mergeCell ref="P34:P35"/>
    <mergeCell ref="A31:A32"/>
    <mergeCell ref="B31:B32"/>
    <mergeCell ref="C31:C32"/>
    <mergeCell ref="D31:D32"/>
    <mergeCell ref="E31:E32"/>
    <mergeCell ref="F31:F32"/>
    <mergeCell ref="K31:K32"/>
    <mergeCell ref="L31:L32"/>
    <mergeCell ref="M31:M32"/>
    <mergeCell ref="Q26:Q27"/>
    <mergeCell ref="A29:A30"/>
    <mergeCell ref="B29:B30"/>
    <mergeCell ref="C29:C30"/>
    <mergeCell ref="D29:D30"/>
    <mergeCell ref="E29:E30"/>
    <mergeCell ref="F29:F30"/>
    <mergeCell ref="Q29:Q30"/>
    <mergeCell ref="K29:K30"/>
    <mergeCell ref="L29:L30"/>
    <mergeCell ref="M29:M30"/>
    <mergeCell ref="N29:N30"/>
    <mergeCell ref="O29:O30"/>
    <mergeCell ref="P29:P30"/>
    <mergeCell ref="A26:A27"/>
    <mergeCell ref="B26:B27"/>
    <mergeCell ref="C26:C27"/>
    <mergeCell ref="D26:D27"/>
    <mergeCell ref="E26:E27"/>
    <mergeCell ref="F26:F27"/>
    <mergeCell ref="K26:K27"/>
    <mergeCell ref="L26:L27"/>
    <mergeCell ref="M26:M27"/>
    <mergeCell ref="C14:C21"/>
    <mergeCell ref="D14:D21"/>
    <mergeCell ref="E14:E21"/>
    <mergeCell ref="F14:F21"/>
    <mergeCell ref="N22:N23"/>
    <mergeCell ref="O22:O23"/>
    <mergeCell ref="P22:P23"/>
    <mergeCell ref="N26:N27"/>
    <mergeCell ref="O26:O27"/>
    <mergeCell ref="P26:P27"/>
    <mergeCell ref="Q22:Q23"/>
    <mergeCell ref="A24:A25"/>
    <mergeCell ref="B24:B25"/>
    <mergeCell ref="C24:C25"/>
    <mergeCell ref="D24:D25"/>
    <mergeCell ref="E24:E25"/>
    <mergeCell ref="F24:F25"/>
    <mergeCell ref="Q24:Q25"/>
    <mergeCell ref="K24:K25"/>
    <mergeCell ref="L24:L25"/>
    <mergeCell ref="M24:M25"/>
    <mergeCell ref="N24:N25"/>
    <mergeCell ref="O24:O25"/>
    <mergeCell ref="P24:P25"/>
    <mergeCell ref="A1:Q1"/>
    <mergeCell ref="A2:Q2"/>
    <mergeCell ref="A3:Q3"/>
    <mergeCell ref="A4:Q4"/>
    <mergeCell ref="A5:Q5"/>
    <mergeCell ref="A7:Q7"/>
    <mergeCell ref="Q14:Q19"/>
    <mergeCell ref="A22:A23"/>
    <mergeCell ref="B22:B23"/>
    <mergeCell ref="C22:C23"/>
    <mergeCell ref="D22:D23"/>
    <mergeCell ref="E22:E23"/>
    <mergeCell ref="F22:F23"/>
    <mergeCell ref="K22:K23"/>
    <mergeCell ref="L22:L23"/>
    <mergeCell ref="M22:M23"/>
    <mergeCell ref="K14:K19"/>
    <mergeCell ref="L14:L19"/>
    <mergeCell ref="M14:M19"/>
    <mergeCell ref="N14:N19"/>
    <mergeCell ref="O14:O19"/>
    <mergeCell ref="P14:P19"/>
    <mergeCell ref="A14:A21"/>
    <mergeCell ref="B14:B21"/>
  </mergeCells>
  <pageMargins left="0.17" right="0.19685039370078741" top="0.17" bottom="0.23" header="0.31496062992125984" footer="0.17"/>
  <pageSetup paperSize="9" scale="27" fitToHeight="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topLeftCell="A13" zoomScaleNormal="100" workbookViewId="0">
      <selection activeCell="E5" sqref="E5"/>
    </sheetView>
  </sheetViews>
  <sheetFormatPr defaultRowHeight="15" x14ac:dyDescent="0.25"/>
  <cols>
    <col min="1" max="1" width="9.140625" style="201"/>
    <col min="2" max="2" width="57.7109375" style="205" customWidth="1"/>
    <col min="3" max="5" width="14.42578125" style="205" bestFit="1" customWidth="1"/>
    <col min="6" max="12" width="9.140625" style="141"/>
    <col min="13" max="13" width="31.7109375" style="141" customWidth="1"/>
    <col min="14" max="16384" width="9.140625" style="141"/>
  </cols>
  <sheetData>
    <row r="2" spans="1:5" s="202" customFormat="1" ht="60" x14ac:dyDescent="0.25">
      <c r="A2" s="142" t="s">
        <v>2656</v>
      </c>
      <c r="B2" s="142" t="s">
        <v>2650</v>
      </c>
      <c r="C2" s="142" t="s">
        <v>41</v>
      </c>
      <c r="D2" s="142" t="s">
        <v>40</v>
      </c>
      <c r="E2" s="142" t="s">
        <v>2724</v>
      </c>
    </row>
    <row r="3" spans="1:5" ht="30" x14ac:dyDescent="0.25">
      <c r="A3" s="206">
        <v>1</v>
      </c>
      <c r="B3" s="203" t="s">
        <v>2723</v>
      </c>
      <c r="C3" s="204">
        <v>13582605.560000001</v>
      </c>
      <c r="D3" s="204">
        <v>15354092.331277965</v>
      </c>
      <c r="E3" s="204">
        <v>2519205.7906779665</v>
      </c>
    </row>
    <row r="4" spans="1:5" ht="45" x14ac:dyDescent="0.25">
      <c r="A4" s="206">
        <v>2</v>
      </c>
      <c r="B4" s="203" t="s">
        <v>2628</v>
      </c>
      <c r="C4" s="204">
        <v>5590335.5800000001</v>
      </c>
      <c r="D4" s="204">
        <v>6126521.9180000005</v>
      </c>
      <c r="E4" s="204">
        <v>86235.04</v>
      </c>
    </row>
    <row r="5" spans="1:5" ht="30" x14ac:dyDescent="0.25">
      <c r="A5" s="206">
        <v>3</v>
      </c>
      <c r="B5" s="203" t="s">
        <v>2629</v>
      </c>
      <c r="C5" s="204">
        <v>50697252.670000009</v>
      </c>
      <c r="D5" s="204">
        <v>51064565.256000012</v>
      </c>
      <c r="E5" s="204">
        <v>3619358.4</v>
      </c>
    </row>
    <row r="6" spans="1:5" ht="45" x14ac:dyDescent="0.25">
      <c r="A6" s="206">
        <v>4</v>
      </c>
      <c r="B6" s="203" t="s">
        <v>2630</v>
      </c>
      <c r="C6" s="204">
        <v>1252065.1572881355</v>
      </c>
      <c r="D6" s="204">
        <v>1471265.6442</v>
      </c>
      <c r="E6" s="204">
        <v>34284.730000000003</v>
      </c>
    </row>
    <row r="7" spans="1:5" ht="30" x14ac:dyDescent="0.25">
      <c r="A7" s="206">
        <v>5</v>
      </c>
      <c r="B7" s="203" t="s">
        <v>2631</v>
      </c>
      <c r="C7" s="204">
        <v>455401.40333333332</v>
      </c>
      <c r="D7" s="204">
        <v>456068.07</v>
      </c>
      <c r="E7" s="204">
        <v>5841.95</v>
      </c>
    </row>
    <row r="8" spans="1:5" ht="30" x14ac:dyDescent="0.25">
      <c r="A8" s="206">
        <v>6</v>
      </c>
      <c r="B8" s="203" t="s">
        <v>2632</v>
      </c>
      <c r="C8" s="204">
        <v>168192.79966101694</v>
      </c>
      <c r="D8" s="204">
        <v>198467.5036</v>
      </c>
      <c r="E8" s="204">
        <v>28262.711864406781</v>
      </c>
    </row>
    <row r="9" spans="1:5" ht="30" x14ac:dyDescent="0.25">
      <c r="A9" s="206">
        <v>7</v>
      </c>
      <c r="B9" s="203" t="s">
        <v>2633</v>
      </c>
      <c r="C9" s="204">
        <v>189947.62711864407</v>
      </c>
      <c r="D9" s="204">
        <v>224138.2</v>
      </c>
      <c r="E9" s="204">
        <v>84745.762711864416</v>
      </c>
    </row>
    <row r="10" spans="1:5" x14ac:dyDescent="0.25">
      <c r="A10" s="206">
        <v>8</v>
      </c>
      <c r="B10" s="203" t="s">
        <v>2634</v>
      </c>
      <c r="C10" s="204">
        <v>392190.99847457634</v>
      </c>
      <c r="D10" s="204">
        <v>462785.37819999998</v>
      </c>
      <c r="E10" s="204">
        <v>2360.4899999999998</v>
      </c>
    </row>
    <row r="11" spans="1:5" ht="30" x14ac:dyDescent="0.25">
      <c r="A11" s="206">
        <v>9</v>
      </c>
      <c r="B11" s="203" t="s">
        <v>2635</v>
      </c>
      <c r="C11" s="204">
        <v>264880.8898305085</v>
      </c>
      <c r="D11" s="204">
        <v>312559.45</v>
      </c>
      <c r="E11" s="204">
        <v>173728.81355932204</v>
      </c>
    </row>
    <row r="12" spans="1:5" ht="30" x14ac:dyDescent="0.25">
      <c r="A12" s="206">
        <v>10</v>
      </c>
      <c r="B12" s="203" t="s">
        <v>2636</v>
      </c>
      <c r="C12" s="204">
        <v>1116831.7769999998</v>
      </c>
      <c r="D12" s="204">
        <v>1118375.8457999998</v>
      </c>
      <c r="E12" s="204">
        <v>110169.49152542373</v>
      </c>
    </row>
    <row r="13" spans="1:5" ht="30" x14ac:dyDescent="0.25">
      <c r="A13" s="206">
        <v>11</v>
      </c>
      <c r="B13" s="203" t="s">
        <v>2637</v>
      </c>
      <c r="C13" s="204">
        <v>626932.24418400007</v>
      </c>
      <c r="D13" s="204">
        <v>628380.04818400007</v>
      </c>
      <c r="E13" s="204">
        <v>44995.54</v>
      </c>
    </row>
    <row r="14" spans="1:5" ht="30" x14ac:dyDescent="0.25">
      <c r="A14" s="206">
        <v>12</v>
      </c>
      <c r="B14" s="203" t="s">
        <v>2638</v>
      </c>
      <c r="C14" s="204">
        <v>3336873.2650847458</v>
      </c>
      <c r="D14" s="204">
        <v>3821711.1716</v>
      </c>
      <c r="E14" s="204">
        <v>305329.33999999997</v>
      </c>
    </row>
    <row r="15" spans="1:5" ht="30" x14ac:dyDescent="0.25">
      <c r="A15" s="206">
        <v>13</v>
      </c>
      <c r="B15" s="203" t="s">
        <v>2639</v>
      </c>
      <c r="C15" s="204">
        <v>781430.58865084755</v>
      </c>
      <c r="D15" s="204">
        <v>909744.92560000008</v>
      </c>
      <c r="E15" s="204">
        <v>59661.930000000008</v>
      </c>
    </row>
    <row r="16" spans="1:5" ht="30" x14ac:dyDescent="0.25">
      <c r="A16" s="206">
        <v>14</v>
      </c>
      <c r="B16" s="203" t="s">
        <v>2640</v>
      </c>
      <c r="C16" s="204">
        <v>570133.05084745772</v>
      </c>
      <c r="D16" s="204">
        <v>672757</v>
      </c>
      <c r="E16" s="204">
        <v>127118.64406779662</v>
      </c>
    </row>
    <row r="17" spans="1:5" ht="30" x14ac:dyDescent="0.25">
      <c r="A17" s="206">
        <v>15</v>
      </c>
      <c r="B17" s="203" t="s">
        <v>2641</v>
      </c>
      <c r="C17" s="204">
        <v>707574.36344006786</v>
      </c>
      <c r="D17" s="204">
        <v>834937.74885927991</v>
      </c>
      <c r="E17" s="204">
        <v>500000</v>
      </c>
    </row>
    <row r="18" spans="1:5" ht="30" x14ac:dyDescent="0.25">
      <c r="A18" s="206">
        <v>16</v>
      </c>
      <c r="B18" s="203" t="s">
        <v>2642</v>
      </c>
      <c r="C18" s="204">
        <v>202670.1</v>
      </c>
      <c r="D18" s="204">
        <v>239150.72</v>
      </c>
      <c r="E18" s="204">
        <v>202670.10169491527</v>
      </c>
    </row>
    <row r="19" spans="1:5" ht="30" x14ac:dyDescent="0.25">
      <c r="A19" s="206">
        <v>17</v>
      </c>
      <c r="B19" s="203" t="s">
        <v>2643</v>
      </c>
      <c r="C19" s="204">
        <v>335128.15457627119</v>
      </c>
      <c r="D19" s="204">
        <v>394619.68</v>
      </c>
      <c r="E19" s="204">
        <v>4619.68</v>
      </c>
    </row>
    <row r="20" spans="1:5" ht="30" x14ac:dyDescent="0.25">
      <c r="A20" s="206">
        <v>18</v>
      </c>
      <c r="B20" s="203" t="s">
        <v>2644</v>
      </c>
      <c r="C20" s="285">
        <v>64625152.133220337</v>
      </c>
      <c r="D20" s="204">
        <v>71922451.126599997</v>
      </c>
      <c r="E20" s="204">
        <v>21269697.799999997</v>
      </c>
    </row>
    <row r="21" spans="1:5" ht="30" x14ac:dyDescent="0.25">
      <c r="A21" s="206">
        <v>19</v>
      </c>
      <c r="B21" s="203" t="s">
        <v>2645</v>
      </c>
      <c r="C21" s="285">
        <v>17997665.095084745</v>
      </c>
      <c r="D21" s="204">
        <v>18244425.069200002</v>
      </c>
      <c r="E21" s="204">
        <v>14022537.35</v>
      </c>
    </row>
    <row r="22" spans="1:5" ht="30" x14ac:dyDescent="0.25">
      <c r="A22" s="206">
        <v>20</v>
      </c>
      <c r="B22" s="203" t="s">
        <v>2646</v>
      </c>
      <c r="C22" s="285">
        <v>12139231.364887007</v>
      </c>
      <c r="D22" s="204">
        <v>13326629.09</v>
      </c>
      <c r="E22" s="204">
        <v>5653295.3300000001</v>
      </c>
    </row>
    <row r="23" spans="1:5" x14ac:dyDescent="0.25">
      <c r="A23" s="206">
        <v>21</v>
      </c>
      <c r="B23" s="203" t="s">
        <v>2647</v>
      </c>
      <c r="C23" s="285">
        <v>13949788.019661017</v>
      </c>
      <c r="D23" s="204">
        <v>14514119.7664</v>
      </c>
      <c r="E23" s="204">
        <v>9741840.8300000001</v>
      </c>
    </row>
    <row r="24" spans="1:5" ht="60" x14ac:dyDescent="0.25">
      <c r="A24" s="206">
        <v>22</v>
      </c>
      <c r="B24" s="203" t="s">
        <v>2725</v>
      </c>
      <c r="C24" s="285">
        <v>69382859.474745765</v>
      </c>
      <c r="D24" s="204">
        <v>81735698.487466678</v>
      </c>
      <c r="E24" s="204">
        <v>4298441.33</v>
      </c>
    </row>
    <row r="25" spans="1:5" x14ac:dyDescent="0.25">
      <c r="A25" s="206"/>
      <c r="B25" s="203"/>
      <c r="C25" s="204"/>
      <c r="D25" s="204"/>
      <c r="E25" s="204"/>
    </row>
    <row r="26" spans="1:5" x14ac:dyDescent="0.25">
      <c r="A26" s="206"/>
      <c r="B26" s="203" t="s">
        <v>2653</v>
      </c>
      <c r="C26" s="204">
        <f>SUM(C3:C25)</f>
        <v>258365142.31708848</v>
      </c>
      <c r="D26" s="204">
        <f>SUM(D3:D25)</f>
        <v>284033464.43098795</v>
      </c>
      <c r="E26" s="204">
        <f>SUM(E3:E25)</f>
        <v>62894401.056101687</v>
      </c>
    </row>
    <row r="27" spans="1:5" x14ac:dyDescent="0.25">
      <c r="A27" s="206"/>
      <c r="B27" s="203" t="s">
        <v>2651</v>
      </c>
      <c r="C27" s="204" t="e">
        <f>SUM('Расчет сс '!#REF!)</f>
        <v>#REF!</v>
      </c>
      <c r="D27" s="204" t="e">
        <f>SUM('Расчет сс '!#REF!)</f>
        <v>#REF!</v>
      </c>
      <c r="E27" s="204" t="e">
        <f>SUM('Расчет сс '!#REF!)</f>
        <v>#REF!</v>
      </c>
    </row>
    <row r="28" spans="1:5" x14ac:dyDescent="0.25">
      <c r="A28" s="206"/>
      <c r="B28" s="203" t="s">
        <v>2652</v>
      </c>
      <c r="C28" s="204" t="e">
        <f>SUM('Расчет сс '!#REF!)</f>
        <v>#REF!</v>
      </c>
      <c r="D28" s="204" t="e">
        <f>SUM('Расчет сс '!#REF!)</f>
        <v>#REF!</v>
      </c>
      <c r="E28" s="204" t="e">
        <f>C28</f>
        <v>#REF!</v>
      </c>
    </row>
    <row r="29" spans="1:5" x14ac:dyDescent="0.25">
      <c r="A29" s="206"/>
      <c r="B29" s="203" t="s">
        <v>2654</v>
      </c>
      <c r="C29" s="204" t="e">
        <f>SUM(C27:C28)</f>
        <v>#REF!</v>
      </c>
      <c r="D29" s="204" t="e">
        <f>SUM(D27:D28)</f>
        <v>#REF!</v>
      </c>
      <c r="E29" s="204" t="e">
        <f>SUM(E27:E28)</f>
        <v>#REF!</v>
      </c>
    </row>
    <row r="30" spans="1:5" x14ac:dyDescent="0.25">
      <c r="A30" s="206"/>
      <c r="B30" s="203" t="s">
        <v>2655</v>
      </c>
      <c r="C30" s="204" t="e">
        <f>C29+C26</f>
        <v>#REF!</v>
      </c>
      <c r="D30" s="204" t="e">
        <f>D29+D26</f>
        <v>#REF!</v>
      </c>
      <c r="E30" s="204" t="e">
        <f>E29+E26</f>
        <v>#REF!</v>
      </c>
    </row>
  </sheetData>
  <pageMargins left="0.27" right="0.27" top="0.4" bottom="0.41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Расчет инвестиций</vt:lpstr>
      <vt:lpstr>Расчет сс </vt:lpstr>
      <vt:lpstr>Лист1</vt:lpstr>
      <vt:lpstr>Лист2</vt:lpstr>
      <vt:lpstr>было</vt:lpstr>
      <vt:lpstr>Лист2 (2)</vt:lpstr>
      <vt:lpstr>было!Заголовки_для_печати</vt:lpstr>
      <vt:lpstr>'Расчет сс '!Заголовки_для_печати</vt:lpstr>
      <vt:lpstr>было!Область_печати</vt:lpstr>
      <vt:lpstr>'Расчет сс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 Ирина Александровна</dc:creator>
  <cp:lastModifiedBy>Radin_Mihail</cp:lastModifiedBy>
  <cp:lastPrinted>2020-10-19T09:41:21Z</cp:lastPrinted>
  <dcterms:created xsi:type="dcterms:W3CDTF">2017-06-07T08:22:44Z</dcterms:created>
  <dcterms:modified xsi:type="dcterms:W3CDTF">2023-08-23T10:38:49Z</dcterms:modified>
</cp:coreProperties>
</file>